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1355" windowHeight="8265" firstSheet="11" activeTab="16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Rio Doce" sheetId="7" r:id="rId11"/>
    <sheet name="Santa Cruz" sheetId="23" r:id="rId12"/>
    <sheet name="Grama" sheetId="1" r:id="rId13"/>
    <sheet name="Goiabal" sheetId="5" r:id="rId14"/>
    <sheet name="São Pedro" sheetId="9" r:id="rId15"/>
    <sheet name="Urucânia" sheetId="3" r:id="rId16"/>
    <sheet name="Consolidado" sheetId="25" r:id="rId17"/>
    <sheet name="HMH-5172" sheetId="14" r:id="rId18"/>
    <sheet name="HNH-0912" sheetId="19" r:id="rId19"/>
    <sheet name="Caminhão" sheetId="20" r:id="rId20"/>
    <sheet name="Michellin" sheetId="18" r:id="rId21"/>
    <sheet name="Plan1" sheetId="24" r:id="rId22"/>
  </sheets>
  <externalReferences>
    <externalReference r:id="rId23"/>
  </externalReferences>
  <definedNames>
    <definedName name="_xlnm.Print_Area" localSheetId="0">Acaiaca!$A$1:$H$56</definedName>
    <definedName name="_xlnm.Print_Area" localSheetId="1">Alvinópolis!$A$1:$G$56</definedName>
    <definedName name="_xlnm.Print_Area" localSheetId="2">'Amparo do Serra'!$A$1:$H$56</definedName>
    <definedName name="_xlnm.Print_Area" localSheetId="4">'Barra Longa'!$A$1:$H$56</definedName>
    <definedName name="_xlnm.Print_Area" localSheetId="16">Consolidado!$A$1:$H$56</definedName>
    <definedName name="_xlnm.Print_Area" localSheetId="5">'Dom Silvério'!$A$1:$H$56</definedName>
    <definedName name="_xlnm.Print_Area" localSheetId="13">Goiabal!$A$1:$H$56</definedName>
    <definedName name="_xlnm.Print_Area" localSheetId="12">Grama!$A$1:$H$56</definedName>
    <definedName name="_xlnm.Print_Area" localSheetId="3">Guaraciaba!$A$1:$H$56</definedName>
    <definedName name="_xlnm.Print_Area" localSheetId="7">Jequeri!$A$1:$H$56</definedName>
    <definedName name="_xlnm.Print_Area" localSheetId="8">Piedade!$A$1:$H$56</definedName>
    <definedName name="_xlnm.Print_Area" localSheetId="9">'Raul Soares'!$A$1:$H$56</definedName>
    <definedName name="_xlnm.Print_Area" localSheetId="10">'Rio Doce'!$A$1:$H$56</definedName>
    <definedName name="_xlnm.Print_Area" localSheetId="11">'Santa Cruz'!$A$1:$H$56</definedName>
    <definedName name="_xlnm.Print_Area" localSheetId="14">'São Pedro'!$A$1:$H$56</definedName>
    <definedName name="_xlnm.Print_Area" localSheetId="6">'Sem Peixe'!$A$1:$H$56</definedName>
    <definedName name="_xlnm.Print_Area" localSheetId="15">Urucânia!$A$1:$H$56</definedName>
  </definedNames>
  <calcPr calcId="145621"/>
</workbook>
</file>

<file path=xl/calcChain.xml><?xml version="1.0" encoding="utf-8"?>
<calcChain xmlns="http://schemas.openxmlformats.org/spreadsheetml/2006/main">
  <c r="F50" i="9" l="1"/>
  <c r="C47" i="9"/>
  <c r="F50" i="5"/>
  <c r="G30" i="5"/>
  <c r="F50" i="1"/>
  <c r="G35" i="7"/>
  <c r="I35" i="7" l="1"/>
  <c r="G30" i="2"/>
  <c r="G30" i="12"/>
  <c r="G30" i="8" l="1"/>
  <c r="G16" i="6"/>
  <c r="G14" i="6"/>
  <c r="G14" i="22"/>
  <c r="G30" i="21"/>
  <c r="G14" i="21"/>
  <c r="F50" i="10" l="1"/>
  <c r="F50" i="16"/>
  <c r="G30" i="3"/>
  <c r="G30" i="9"/>
  <c r="K30" i="25"/>
  <c r="G30" i="23"/>
  <c r="G30" i="7"/>
  <c r="G30" i="11"/>
  <c r="G30" i="6"/>
  <c r="G30" i="22"/>
  <c r="G30" i="13"/>
  <c r="G30" i="10"/>
  <c r="G16" i="3" l="1"/>
  <c r="G16" i="9"/>
  <c r="G16" i="5"/>
  <c r="G16" i="1"/>
  <c r="G16" i="23"/>
  <c r="G16" i="7"/>
  <c r="G16" i="11"/>
  <c r="G16" i="2"/>
  <c r="G16" i="12"/>
  <c r="G16" i="21"/>
  <c r="G16" i="22"/>
  <c r="G16" i="13"/>
  <c r="G16" i="8"/>
  <c r="G16" i="10"/>
  <c r="G16" i="16"/>
  <c r="K15" i="25"/>
  <c r="K17" i="25"/>
  <c r="K16" i="25"/>
  <c r="K14" i="25"/>
  <c r="G14" i="3"/>
  <c r="G14" i="9"/>
  <c r="G14" i="5"/>
  <c r="G14" i="1"/>
  <c r="G14" i="23"/>
  <c r="G14" i="7"/>
  <c r="G14" i="11"/>
  <c r="G14" i="2"/>
  <c r="G14" i="12"/>
  <c r="G14" i="13"/>
  <c r="G14" i="8"/>
  <c r="G14" i="10"/>
  <c r="G14" i="16"/>
  <c r="G14" i="25" l="1"/>
  <c r="G25" i="16"/>
  <c r="G18" i="10" l="1"/>
  <c r="G19" i="10"/>
  <c r="G20" i="10"/>
  <c r="G21" i="10"/>
  <c r="G23" i="10"/>
  <c r="G24" i="10"/>
  <c r="G25" i="10"/>
  <c r="G26" i="10"/>
  <c r="G27" i="10"/>
  <c r="G28" i="10"/>
  <c r="G29" i="10"/>
  <c r="G31" i="10"/>
  <c r="G32" i="10"/>
  <c r="G33" i="10"/>
  <c r="G34" i="10"/>
  <c r="G18" i="8"/>
  <c r="G19" i="8"/>
  <c r="G20" i="8"/>
  <c r="G21" i="8"/>
  <c r="G23" i="8"/>
  <c r="G24" i="8"/>
  <c r="G25" i="8"/>
  <c r="G26" i="8"/>
  <c r="G28" i="8"/>
  <c r="G29" i="8"/>
  <c r="G31" i="8"/>
  <c r="G32" i="8"/>
  <c r="G33" i="8"/>
  <c r="G34" i="8"/>
  <c r="G18" i="21"/>
  <c r="G19" i="21"/>
  <c r="G20" i="21"/>
  <c r="G21" i="21"/>
  <c r="G23" i="21"/>
  <c r="G24" i="21"/>
  <c r="G25" i="21"/>
  <c r="G26" i="21"/>
  <c r="G28" i="21"/>
  <c r="G29" i="21"/>
  <c r="G31" i="21"/>
  <c r="G32" i="21"/>
  <c r="G33" i="21"/>
  <c r="G34" i="21"/>
  <c r="G18" i="13"/>
  <c r="G19" i="13"/>
  <c r="G20" i="13"/>
  <c r="G21" i="13"/>
  <c r="G23" i="13"/>
  <c r="G24" i="13"/>
  <c r="G25" i="13"/>
  <c r="G26" i="13"/>
  <c r="G28" i="13"/>
  <c r="G29" i="13"/>
  <c r="G31" i="13"/>
  <c r="G32" i="13"/>
  <c r="G33" i="13"/>
  <c r="G34" i="13"/>
  <c r="G18" i="22"/>
  <c r="G19" i="22"/>
  <c r="G20" i="22"/>
  <c r="G21" i="22"/>
  <c r="G23" i="22"/>
  <c r="G24" i="22"/>
  <c r="G25" i="22"/>
  <c r="G26" i="22"/>
  <c r="G27" i="22"/>
  <c r="G28" i="22"/>
  <c r="G29" i="22"/>
  <c r="G31" i="22"/>
  <c r="G32" i="22"/>
  <c r="G33" i="22"/>
  <c r="G34" i="22"/>
  <c r="G18" i="6"/>
  <c r="G19" i="6"/>
  <c r="G20" i="6"/>
  <c r="G21" i="6"/>
  <c r="G23" i="6"/>
  <c r="G24" i="6"/>
  <c r="G25" i="6"/>
  <c r="G26" i="6"/>
  <c r="G27" i="6"/>
  <c r="G28" i="6"/>
  <c r="G29" i="6"/>
  <c r="G31" i="6"/>
  <c r="G32" i="6"/>
  <c r="G33" i="6"/>
  <c r="G34" i="6"/>
  <c r="G18" i="12"/>
  <c r="G19" i="12"/>
  <c r="G20" i="12"/>
  <c r="G21" i="12"/>
  <c r="G23" i="12"/>
  <c r="G24" i="12"/>
  <c r="G25" i="12"/>
  <c r="G26" i="12"/>
  <c r="G28" i="12"/>
  <c r="G29" i="12"/>
  <c r="G31" i="12"/>
  <c r="G32" i="12"/>
  <c r="G33" i="12"/>
  <c r="G34" i="12"/>
  <c r="G18" i="2"/>
  <c r="G19" i="2"/>
  <c r="G20" i="2"/>
  <c r="G21" i="2"/>
  <c r="G23" i="2"/>
  <c r="G24" i="2"/>
  <c r="G25" i="2"/>
  <c r="G26" i="2"/>
  <c r="G28" i="2"/>
  <c r="G29" i="2"/>
  <c r="G31" i="2"/>
  <c r="G32" i="2"/>
  <c r="G33" i="2"/>
  <c r="G34" i="2"/>
  <c r="G18" i="11"/>
  <c r="G19" i="11"/>
  <c r="G20" i="11"/>
  <c r="G21" i="11"/>
  <c r="G23" i="11"/>
  <c r="G24" i="11"/>
  <c r="G25" i="11"/>
  <c r="G26" i="11"/>
  <c r="G28" i="11"/>
  <c r="G29" i="11"/>
  <c r="G31" i="11"/>
  <c r="G32" i="11"/>
  <c r="G33" i="11"/>
  <c r="G34" i="11"/>
  <c r="G18" i="1"/>
  <c r="G19" i="1"/>
  <c r="G20" i="1"/>
  <c r="G21" i="1"/>
  <c r="G23" i="1"/>
  <c r="G24" i="1"/>
  <c r="G25" i="1"/>
  <c r="G26" i="1"/>
  <c r="G27" i="1"/>
  <c r="G28" i="1"/>
  <c r="G29" i="1"/>
  <c r="G31" i="1"/>
  <c r="G32" i="1"/>
  <c r="G33" i="1"/>
  <c r="G34" i="1"/>
  <c r="G18" i="5"/>
  <c r="G19" i="5"/>
  <c r="G20" i="5"/>
  <c r="G21" i="5"/>
  <c r="G23" i="5"/>
  <c r="G24" i="5"/>
  <c r="G25" i="5"/>
  <c r="G26" i="5"/>
  <c r="G27" i="5"/>
  <c r="G28" i="5"/>
  <c r="G29" i="5"/>
  <c r="G31" i="5"/>
  <c r="G32" i="5"/>
  <c r="G33" i="5"/>
  <c r="G34" i="5"/>
  <c r="G18" i="23"/>
  <c r="G19" i="23"/>
  <c r="G20" i="23"/>
  <c r="G21" i="23"/>
  <c r="G23" i="23"/>
  <c r="G24" i="23"/>
  <c r="G25" i="23"/>
  <c r="G26" i="23"/>
  <c r="G28" i="23"/>
  <c r="G29" i="23"/>
  <c r="G33" i="23"/>
  <c r="G34" i="23"/>
  <c r="G18" i="7"/>
  <c r="G19" i="7"/>
  <c r="G20" i="7"/>
  <c r="G21" i="7"/>
  <c r="G23" i="7"/>
  <c r="G24" i="7"/>
  <c r="G25" i="7"/>
  <c r="G26" i="7"/>
  <c r="G28" i="7"/>
  <c r="G29" i="7"/>
  <c r="G33" i="7"/>
  <c r="G34" i="7"/>
  <c r="G18" i="9"/>
  <c r="G19" i="9"/>
  <c r="G20" i="9"/>
  <c r="G21" i="9"/>
  <c r="G23" i="9"/>
  <c r="G24" i="9"/>
  <c r="G25" i="9"/>
  <c r="G26" i="9"/>
  <c r="G28" i="9"/>
  <c r="G29" i="9"/>
  <c r="G31" i="9"/>
  <c r="G32" i="9"/>
  <c r="G33" i="9"/>
  <c r="G34" i="9"/>
  <c r="G18" i="3"/>
  <c r="G19" i="3"/>
  <c r="G20" i="3"/>
  <c r="G21" i="3"/>
  <c r="G23" i="3"/>
  <c r="G24" i="3"/>
  <c r="G25" i="3"/>
  <c r="G26" i="3"/>
  <c r="I34" i="3" s="1"/>
  <c r="G27" i="3"/>
  <c r="G28" i="3"/>
  <c r="G29" i="3"/>
  <c r="G31" i="3"/>
  <c r="G32" i="3"/>
  <c r="G33" i="3"/>
  <c r="G34" i="3"/>
  <c r="G18" i="16"/>
  <c r="G19" i="16"/>
  <c r="G20" i="16"/>
  <c r="G21" i="16"/>
  <c r="G23" i="16"/>
  <c r="G24" i="16"/>
  <c r="G26" i="16"/>
  <c r="G28" i="16"/>
  <c r="G29" i="16"/>
  <c r="G31" i="16"/>
  <c r="G32" i="16"/>
  <c r="G33" i="16"/>
  <c r="G34" i="16"/>
  <c r="G18" i="25" l="1"/>
  <c r="G15" i="23" l="1"/>
  <c r="G15" i="16" l="1"/>
  <c r="G17" i="16"/>
  <c r="G27" i="25"/>
  <c r="G15" i="10"/>
  <c r="G17" i="10"/>
  <c r="G15" i="8"/>
  <c r="G15" i="21"/>
  <c r="G15" i="13"/>
  <c r="G17" i="13"/>
  <c r="G15" i="22"/>
  <c r="G17" i="22"/>
  <c r="G15" i="6"/>
  <c r="G17" i="6"/>
  <c r="G30" i="25"/>
  <c r="G15" i="12"/>
  <c r="G17" i="12"/>
  <c r="G29" i="25"/>
  <c r="G15" i="2"/>
  <c r="G17" i="2"/>
  <c r="G15" i="11"/>
  <c r="G17" i="11"/>
  <c r="G15" i="1"/>
  <c r="G17" i="1"/>
  <c r="G15" i="5"/>
  <c r="G17" i="5"/>
  <c r="G15" i="7"/>
  <c r="G15" i="9"/>
  <c r="G17" i="9"/>
  <c r="G15" i="3"/>
  <c r="G17" i="3"/>
  <c r="G15" i="25" l="1"/>
  <c r="G17" i="25"/>
  <c r="G16" i="25"/>
  <c r="G33" i="25"/>
  <c r="G20" i="25"/>
  <c r="G24" i="25"/>
  <c r="G22" i="25"/>
  <c r="I34" i="23"/>
  <c r="G26" i="25"/>
  <c r="I34" i="11"/>
  <c r="I34" i="9"/>
  <c r="I34" i="5"/>
  <c r="G21" i="25"/>
  <c r="G34" i="25"/>
  <c r="I34" i="2"/>
  <c r="G25" i="25"/>
  <c r="I34" i="12"/>
  <c r="G19" i="25"/>
  <c r="I34" i="13"/>
  <c r="I34" i="1"/>
  <c r="I34" i="7"/>
  <c r="I34" i="22"/>
  <c r="I34" i="6"/>
  <c r="I34" i="21"/>
  <c r="I34" i="8"/>
  <c r="I34" i="10"/>
  <c r="G23" i="25"/>
  <c r="I34" i="16"/>
  <c r="G28" i="25"/>
  <c r="G31" i="25"/>
  <c r="G32" i="25"/>
  <c r="I20" i="8" l="1"/>
  <c r="I20" i="22"/>
  <c r="I20" i="21"/>
  <c r="I20" i="7"/>
  <c r="I20" i="23"/>
  <c r="I20" i="6" l="1"/>
  <c r="G35" i="6"/>
  <c r="I20" i="10"/>
  <c r="I20" i="13"/>
  <c r="I20" i="12"/>
  <c r="I20" i="2"/>
  <c r="I20" i="11"/>
  <c r="I20" i="1"/>
  <c r="I20" i="5"/>
  <c r="I20" i="9"/>
  <c r="I20" i="3"/>
  <c r="I20" i="16"/>
  <c r="G35" i="25" l="1"/>
  <c r="G35" i="9"/>
  <c r="G35" i="23"/>
  <c r="I35" i="23" s="1"/>
  <c r="G35" i="21"/>
  <c r="G35" i="16"/>
  <c r="I35" i="16" s="1"/>
  <c r="G35" i="1"/>
  <c r="G35" i="2"/>
  <c r="G35" i="13"/>
  <c r="G35" i="3"/>
  <c r="G35" i="12"/>
  <c r="G35" i="8"/>
  <c r="G35" i="5"/>
  <c r="G35" i="11"/>
  <c r="G35" i="22"/>
  <c r="G35" i="10"/>
  <c r="H3" i="14" l="1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  <c r="G43" i="10"/>
  <c r="G45" i="10" s="1"/>
  <c r="G43" i="25"/>
  <c r="G45" i="25" s="1"/>
  <c r="F50" i="25" s="1"/>
  <c r="G43" i="22"/>
  <c r="G45" i="22" s="1"/>
  <c r="F50" i="22" s="1"/>
  <c r="G43" i="8"/>
  <c r="G45" i="8" s="1"/>
  <c r="F50" i="8" s="1"/>
  <c r="G43" i="16"/>
  <c r="G45" i="16" s="1"/>
  <c r="G43" i="5"/>
  <c r="G45" i="5" s="1"/>
  <c r="G43" i="3"/>
  <c r="G45" i="3" s="1"/>
  <c r="F50" i="3" s="1"/>
  <c r="G43" i="7"/>
  <c r="G45" i="7" s="1"/>
  <c r="F50" i="7" s="1"/>
  <c r="G43" i="9"/>
  <c r="G45" i="9" s="1"/>
  <c r="G43" i="21"/>
  <c r="G45" i="21" s="1"/>
  <c r="F50" i="21" s="1"/>
  <c r="G43" i="1"/>
  <c r="G45" i="1" s="1"/>
  <c r="G43" i="23"/>
  <c r="G45" i="23" s="1"/>
  <c r="F50" i="23" s="1"/>
  <c r="G43" i="12"/>
  <c r="G45" i="12" s="1"/>
  <c r="F50" i="12" s="1"/>
  <c r="G43" i="6"/>
  <c r="G45" i="6" s="1"/>
  <c r="F50" i="6" s="1"/>
  <c r="G43" i="13"/>
  <c r="G45" i="13" s="1"/>
  <c r="F50" i="13" s="1"/>
  <c r="G43" i="11"/>
  <c r="G45" i="11" s="1"/>
  <c r="F50" i="11" s="1"/>
  <c r="G43" i="2"/>
  <c r="G45" i="2" s="1"/>
  <c r="F50" i="2" s="1"/>
  <c r="I45" i="16" l="1"/>
</calcChain>
</file>

<file path=xl/sharedStrings.xml><?xml version="1.0" encoding="utf-8"?>
<sst xmlns="http://schemas.openxmlformats.org/spreadsheetml/2006/main" count="1182" uniqueCount="121">
  <si>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</si>
  <si>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</si>
  <si>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</si>
  <si>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</si>
  <si>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</si>
  <si>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</si>
  <si>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</si>
  <si>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</si>
  <si>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</si>
  <si>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</si>
  <si>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</si>
  <si>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</si>
  <si>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</si>
  <si>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</si>
  <si>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</si>
  <si>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</si>
  <si>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</si>
  <si>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</si>
  <si>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</si>
  <si>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</si>
  <si>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</si>
  <si>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</si>
  <si>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</si>
  <si>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</si>
  <si>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</si>
  <si>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</si>
  <si>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</si>
  <si>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</si>
  <si>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</si>
  <si>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</si>
  <si>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</si>
  <si>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</si>
  <si>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</si>
  <si>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</si>
  <si>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</si>
  <si>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</si>
  <si>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</si>
  <si>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</si>
  <si>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</si>
  <si>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</si>
  <si>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</si>
  <si>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</si>
  <si>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</si>
  <si>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</si>
  <si>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</si>
  <si>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</si>
  <si>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</si>
  <si>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</si>
  <si>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</si>
  <si>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</si>
  <si>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</si>
  <si>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</si>
  <si>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</si>
  <si>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</si>
  <si>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</si>
  <si>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</si>
  <si>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</si>
  <si>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</si>
  <si>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</si>
  <si>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</si>
  <si>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</si>
  <si>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</si>
  <si>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</si>
  <si>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</si>
  <si>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</si>
  <si>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</si>
  <si>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</si>
  <si>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</si>
  <si>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</si>
  <si>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</si>
  <si>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</si>
  <si>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</si>
  <si>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</si>
  <si>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</si>
  <si>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Peças e Acessórios</t>
  </si>
  <si>
    <t>Material de limpeza, papelaria, uniforme</t>
  </si>
  <si>
    <t>Outros serviços terceiros pessoa jurídica</t>
  </si>
  <si>
    <t>Recapagem de Pneus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</si>
  <si>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</si>
  <si>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</si>
  <si>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</si>
  <si>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</si>
  <si>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</si>
  <si>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</si>
  <si>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</si>
  <si>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</si>
  <si>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</si>
  <si>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</si>
  <si>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Cartão alimentação Bicard (gerente)</t>
  </si>
  <si>
    <t>Tarifa bancária</t>
  </si>
  <si>
    <t>Custo FIXO</t>
  </si>
  <si>
    <t>Vencimentos e vantage4ns fixas(salário gerente)</t>
  </si>
  <si>
    <t>Outros serviços de terceiros (despesas bancárias</t>
  </si>
  <si>
    <t>Obrigações patronais (INSS e FGTS)</t>
  </si>
  <si>
    <t>Saldo anterior</t>
  </si>
  <si>
    <t>Saldo Atual</t>
  </si>
  <si>
    <t>Selagem sensor de velocidade</t>
  </si>
  <si>
    <t>RELATÓRIO DETALHADO DE DESPESAS</t>
  </si>
  <si>
    <t>33.90.93.00</t>
  </si>
  <si>
    <t>Indenizações e Restituições</t>
  </si>
  <si>
    <t>Papelaria da JO LTDA ME</t>
  </si>
  <si>
    <t/>
  </si>
  <si>
    <t>Acaiaca - Maio/2015</t>
  </si>
  <si>
    <t>Alvinópolis - Maio/2015</t>
  </si>
  <si>
    <t>Amparo do Serra - Abril-2015 - Maio/2015</t>
  </si>
  <si>
    <t>Guaraciaba - Abril-2015 - Maio/2015</t>
  </si>
  <si>
    <t>Barra Longa - Maio/2015</t>
  </si>
  <si>
    <t>Dom Silvério - Maio/2015</t>
  </si>
  <si>
    <t>Sem Peixe - Maio/2015</t>
  </si>
  <si>
    <t>Jequeri - Maio/2015</t>
  </si>
  <si>
    <t>Piedade de Ponte Nova - Maio/2015</t>
  </si>
  <si>
    <t>Raul Soares - Maio/2015</t>
  </si>
  <si>
    <t>Santo Antonio do Grama - Maio/2015</t>
  </si>
  <si>
    <t>São José do Goiabal - Maio/2015</t>
  </si>
  <si>
    <t>Santa Cruz do Escalvado - Maio/2015</t>
  </si>
  <si>
    <t>Rio Doce - Maio/2015</t>
  </si>
  <si>
    <t>São Pedro dos Ferros - Maio/2015</t>
  </si>
  <si>
    <t>Urucânia - Maio/2015</t>
  </si>
  <si>
    <t>CONSOLIDADO - Maio/2015</t>
  </si>
  <si>
    <t>Primeira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</si>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</sst>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quotePrefix="1" applyFont="1"/>
    <xf numFmtId="0" fontId="2" fillId="5" borderId="0" xfId="0" applyFont="1" applyFill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8" fontId="0" fillId="0" borderId="1" xfId="0" applyNumberFormat="1" applyBorder="1"/>
    <xf numFmtId="0" fontId="1" fillId="1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9" borderId="0" xfId="0" applyFont="1" applyFill="1" applyBorder="1" applyAlignment="1"/>
    <xf numFmtId="0" fontId="1" fillId="0" borderId="0" xfId="0" applyFont="1" applyBorder="1" applyAlignment="1"/>
    <xf numFmtId="44" fontId="1" fillId="10" borderId="0" xfId="0" applyNumberFormat="1" applyFont="1" applyFill="1" applyBorder="1" applyAlignment="1">
      <alignment horizontal="right"/>
    </xf>
    <xf numFmtId="166" fontId="0" fillId="9" borderId="4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8</xdr:col>
      <xdr:colOff>102419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8</xdr:col>
      <xdr:colOff>105307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143387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8</xdr:col>
      <xdr:colOff>54097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860323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05612" cy="86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8</xdr:col>
      <xdr:colOff>61451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8</xdr:col>
      <xdr:colOff>95065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8</xdr:col>
      <xdr:colOff>61451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125790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8</xdr:col>
      <xdr:colOff>30726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8</xdr:col>
      <xdr:colOff>20484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115549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8</xdr:col>
      <xdr:colOff>84824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3"/>
  <sheetViews>
    <sheetView view="pageBreakPreview" topLeftCell="A13" zoomScale="93" zoomScaleNormal="100" zoomScaleSheetLayoutView="93" workbookViewId="0">
      <selection activeCell="G35" sqref="G35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2.85546875" bestFit="1" customWidth="1"/>
    <col min="10" max="10" width="9.85546875" bestFit="1" customWidth="1"/>
    <col min="11" max="11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102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23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17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18"/>
      <c r="B14" s="106" t="s">
        <v>68</v>
      </c>
      <c r="C14" s="107"/>
      <c r="D14" s="108"/>
      <c r="E14" s="48">
        <v>2.7090000000000001</v>
      </c>
      <c r="F14" s="69">
        <v>494.81200000000001</v>
      </c>
      <c r="G14" s="50">
        <f>E14*F14+747.64</f>
        <v>2088.0857080000001</v>
      </c>
      <c r="H14" s="38"/>
    </row>
    <row r="15" spans="1:8" x14ac:dyDescent="0.2">
      <c r="A15" s="118"/>
      <c r="B15" s="106" t="s">
        <v>42</v>
      </c>
      <c r="C15" s="107"/>
      <c r="D15" s="108"/>
      <c r="E15" s="48">
        <v>44</v>
      </c>
      <c r="F15" s="69"/>
      <c r="G15" s="50">
        <f t="shared" ref="G15:G34" si="0">E15*F15</f>
        <v>0</v>
      </c>
      <c r="H15" s="38"/>
    </row>
    <row r="16" spans="1:8" x14ac:dyDescent="0.2">
      <c r="A16" s="118"/>
      <c r="B16" s="106" t="s">
        <v>69</v>
      </c>
      <c r="C16" s="107"/>
      <c r="D16" s="108"/>
      <c r="E16" s="48">
        <v>2.9929999999999999</v>
      </c>
      <c r="F16" s="69">
        <v>2.9835384615384615</v>
      </c>
      <c r="G16" s="50">
        <f>E16*F16+22.47</f>
        <v>31.399730615384613</v>
      </c>
      <c r="H16" s="38"/>
    </row>
    <row r="17" spans="1:9" x14ac:dyDescent="0.2">
      <c r="A17" s="118"/>
      <c r="B17" s="106" t="s">
        <v>73</v>
      </c>
      <c r="C17" s="107"/>
      <c r="D17" s="108"/>
      <c r="E17" s="48">
        <v>132</v>
      </c>
      <c r="F17" s="69">
        <v>1</v>
      </c>
      <c r="G17" s="50">
        <f t="shared" si="0"/>
        <v>132</v>
      </c>
      <c r="H17" s="38"/>
    </row>
    <row r="18" spans="1:9" x14ac:dyDescent="0.2">
      <c r="A18" s="118"/>
      <c r="B18" s="106" t="s">
        <v>100</v>
      </c>
      <c r="C18" s="107"/>
      <c r="D18" s="108"/>
      <c r="E18" s="47"/>
      <c r="F18" s="69"/>
      <c r="G18" s="50">
        <f t="shared" si="0"/>
        <v>0</v>
      </c>
      <c r="H18" s="38"/>
    </row>
    <row r="19" spans="1:9" x14ac:dyDescent="0.2">
      <c r="A19" s="118"/>
      <c r="B19" s="106" t="s">
        <v>74</v>
      </c>
      <c r="C19" s="107"/>
      <c r="D19" s="108"/>
      <c r="E19" s="67"/>
      <c r="F19" s="70"/>
      <c r="G19" s="50">
        <f t="shared" si="0"/>
        <v>0</v>
      </c>
      <c r="H19" s="38"/>
    </row>
    <row r="20" spans="1:9" x14ac:dyDescent="0.2">
      <c r="A20" s="119"/>
      <c r="B20" s="106" t="s">
        <v>75</v>
      </c>
      <c r="C20" s="107"/>
      <c r="D20" s="108"/>
      <c r="E20" s="47"/>
      <c r="F20" s="69"/>
      <c r="G20" s="50">
        <f t="shared" si="0"/>
        <v>0</v>
      </c>
      <c r="H20" s="38"/>
      <c r="I20" s="72">
        <f>G14+G15+G16+G17+G18+G19+G20</f>
        <v>2251.4854386153847</v>
      </c>
    </row>
    <row r="21" spans="1:9" x14ac:dyDescent="0.2">
      <c r="A21" s="25" t="s">
        <v>64</v>
      </c>
      <c r="B21" s="106" t="s">
        <v>76</v>
      </c>
      <c r="C21" s="107"/>
      <c r="D21" s="108"/>
      <c r="E21" s="47"/>
      <c r="F21" s="69"/>
      <c r="G21" s="50">
        <f t="shared" si="0"/>
        <v>0</v>
      </c>
      <c r="H21" s="38"/>
    </row>
    <row r="22" spans="1:9" x14ac:dyDescent="0.2">
      <c r="A22" s="2"/>
      <c r="B22" s="106" t="s">
        <v>77</v>
      </c>
      <c r="C22" s="107"/>
      <c r="D22" s="108"/>
      <c r="E22" s="47"/>
      <c r="F22" s="69"/>
      <c r="G22" s="50">
        <v>0</v>
      </c>
      <c r="H22" s="38"/>
    </row>
    <row r="23" spans="1:9" x14ac:dyDescent="0.2">
      <c r="A23" s="2"/>
      <c r="B23" s="106" t="s">
        <v>78</v>
      </c>
      <c r="C23" s="107"/>
      <c r="D23" s="108"/>
      <c r="E23" s="48">
        <v>72.5</v>
      </c>
      <c r="F23" s="69"/>
      <c r="G23" s="50">
        <f t="shared" si="0"/>
        <v>0</v>
      </c>
      <c r="H23" s="38"/>
    </row>
    <row r="24" spans="1:9" x14ac:dyDescent="0.2">
      <c r="A24" s="2"/>
      <c r="B24" s="106" t="s">
        <v>79</v>
      </c>
      <c r="C24" s="107"/>
      <c r="D24" s="108"/>
      <c r="E24" s="48">
        <v>21</v>
      </c>
      <c r="F24" s="69"/>
      <c r="G24" s="50">
        <f t="shared" si="0"/>
        <v>0</v>
      </c>
    </row>
    <row r="25" spans="1:9" x14ac:dyDescent="0.2">
      <c r="A25" s="2"/>
      <c r="B25" s="106" t="s">
        <v>80</v>
      </c>
      <c r="C25" s="107"/>
      <c r="D25" s="108"/>
      <c r="E25" s="48">
        <v>12</v>
      </c>
      <c r="F25" s="69"/>
      <c r="G25" s="50">
        <f>E25*F25</f>
        <v>0</v>
      </c>
    </row>
    <row r="26" spans="1:9" x14ac:dyDescent="0.2">
      <c r="A26" s="2"/>
      <c r="B26" s="106" t="s">
        <v>81</v>
      </c>
      <c r="C26" s="107"/>
      <c r="D26" s="108"/>
      <c r="E26" s="48">
        <v>39</v>
      </c>
      <c r="F26" s="69"/>
      <c r="G26" s="50">
        <f t="shared" si="0"/>
        <v>0</v>
      </c>
    </row>
    <row r="27" spans="1:9" x14ac:dyDescent="0.2">
      <c r="A27" s="2"/>
      <c r="B27" s="106" t="s">
        <v>82</v>
      </c>
      <c r="C27" s="107"/>
      <c r="D27" s="108"/>
      <c r="E27" s="48"/>
      <c r="F27" s="69"/>
      <c r="G27" s="50">
        <v>207</v>
      </c>
    </row>
    <row r="28" spans="1:9" x14ac:dyDescent="0.2">
      <c r="A28" s="2"/>
      <c r="B28" s="106" t="s">
        <v>83</v>
      </c>
      <c r="C28" s="107"/>
      <c r="D28" s="108"/>
      <c r="E28" s="48"/>
      <c r="F28" s="69"/>
      <c r="G28" s="50">
        <f t="shared" si="0"/>
        <v>0</v>
      </c>
    </row>
    <row r="29" spans="1:9" x14ac:dyDescent="0.2">
      <c r="A29" s="2"/>
      <c r="B29" s="106" t="s">
        <v>84</v>
      </c>
      <c r="C29" s="107"/>
      <c r="D29" s="108"/>
      <c r="E29" s="48"/>
      <c r="F29" s="69"/>
      <c r="G29" s="50">
        <f t="shared" si="0"/>
        <v>0</v>
      </c>
    </row>
    <row r="30" spans="1:9" x14ac:dyDescent="0.2">
      <c r="A30" s="2"/>
      <c r="B30" s="106" t="s">
        <v>85</v>
      </c>
      <c r="C30" s="107"/>
      <c r="D30" s="108"/>
      <c r="E30" s="48"/>
      <c r="F30" s="69"/>
      <c r="G30" s="50">
        <v>6.16</v>
      </c>
    </row>
    <row r="31" spans="1:9" x14ac:dyDescent="0.2">
      <c r="A31" s="2"/>
      <c r="B31" s="106" t="s">
        <v>86</v>
      </c>
      <c r="C31" s="107"/>
      <c r="D31" s="108"/>
      <c r="E31" s="49">
        <v>425.9</v>
      </c>
      <c r="F31" s="71">
        <v>1</v>
      </c>
      <c r="G31" s="50">
        <f t="shared" si="0"/>
        <v>425.9</v>
      </c>
    </row>
    <row r="32" spans="1:9" x14ac:dyDescent="0.2">
      <c r="A32" s="2"/>
      <c r="B32" s="106" t="s">
        <v>87</v>
      </c>
      <c r="C32" s="107"/>
      <c r="D32" s="108"/>
      <c r="E32" s="49">
        <v>272.3</v>
      </c>
      <c r="F32" s="81">
        <v>1</v>
      </c>
      <c r="G32" s="50">
        <f t="shared" si="0"/>
        <v>272.3</v>
      </c>
    </row>
    <row r="33" spans="1:11" x14ac:dyDescent="0.2">
      <c r="A33" s="2"/>
      <c r="B33" s="106" t="s">
        <v>88</v>
      </c>
      <c r="C33" s="107"/>
      <c r="D33" s="108"/>
      <c r="E33" s="48"/>
      <c r="F33" s="69"/>
      <c r="G33" s="50">
        <f t="shared" si="0"/>
        <v>0</v>
      </c>
    </row>
    <row r="34" spans="1:11" x14ac:dyDescent="0.2">
      <c r="A34" s="2"/>
      <c r="B34" s="106" t="s">
        <v>89</v>
      </c>
      <c r="C34" s="107"/>
      <c r="D34" s="108"/>
      <c r="E34" s="48"/>
      <c r="F34" s="69"/>
      <c r="G34" s="50">
        <f t="shared" si="0"/>
        <v>0</v>
      </c>
      <c r="I34" s="72">
        <f>G21+G22+G23+G24+G25+G26+G27+G28+G29+G30+G31+G32+G33+G34</f>
        <v>911.3599999999999</v>
      </c>
      <c r="J34" s="72"/>
    </row>
    <row r="35" spans="1:11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3162.8454386153849</v>
      </c>
      <c r="I35" s="72">
        <f>3162.85-G35</f>
        <v>4.561384615044517E-3</v>
      </c>
    </row>
    <row r="37" spans="1:11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11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11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136.13</v>
      </c>
      <c r="H39" s="45"/>
    </row>
    <row r="40" spans="1:11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78.98</v>
      </c>
      <c r="H40" s="38"/>
    </row>
    <row r="41" spans="1:11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40.950000000000003</v>
      </c>
      <c r="H41" s="38"/>
    </row>
    <row r="42" spans="1:11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11" x14ac:dyDescent="0.2">
      <c r="A43" s="99" t="s">
        <v>65</v>
      </c>
      <c r="B43" s="99"/>
      <c r="C43" s="99"/>
      <c r="D43" s="99"/>
      <c r="E43" s="99"/>
      <c r="F43" s="99"/>
      <c r="G43" s="52">
        <f>SUM(G39:G42)</f>
        <v>256.06</v>
      </c>
      <c r="H43" s="38"/>
    </row>
    <row r="44" spans="1:11" x14ac:dyDescent="0.2">
      <c r="A44" s="55"/>
      <c r="B44" s="97"/>
      <c r="C44" s="97"/>
      <c r="D44" s="97"/>
      <c r="E44" s="97"/>
      <c r="F44" s="97"/>
      <c r="G44" s="56"/>
      <c r="H44" s="60"/>
    </row>
    <row r="45" spans="1:11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3418.9054386153848</v>
      </c>
      <c r="H45" s="58"/>
      <c r="I45" s="72">
        <f>G45-3162.85</f>
        <v>256.0554386153849</v>
      </c>
      <c r="K45" s="72"/>
    </row>
    <row r="47" spans="1:11" x14ac:dyDescent="0.2">
      <c r="A47" s="101" t="s">
        <v>49</v>
      </c>
      <c r="B47" s="101"/>
      <c r="C47" s="64">
        <v>3875.67</v>
      </c>
    </row>
    <row r="49" spans="1:11" x14ac:dyDescent="0.2">
      <c r="A49" s="92" t="s">
        <v>94</v>
      </c>
      <c r="B49" s="92"/>
      <c r="F49" s="95" t="s">
        <v>95</v>
      </c>
      <c r="G49" s="95"/>
    </row>
    <row r="50" spans="1:11" x14ac:dyDescent="0.2">
      <c r="A50" s="93">
        <v>7862.9414699999998</v>
      </c>
      <c r="B50" s="94"/>
      <c r="F50" s="96">
        <f>C47+A50-G45-0.01</f>
        <v>8319.6960313846157</v>
      </c>
      <c r="G50" s="96"/>
    </row>
    <row r="52" spans="1:11" x14ac:dyDescent="0.2">
      <c r="A52" s="103" t="s">
        <v>66</v>
      </c>
      <c r="B52" s="103"/>
      <c r="C52" s="103"/>
      <c r="D52" s="103"/>
      <c r="E52" s="103"/>
      <c r="F52" s="103"/>
      <c r="G52" s="103"/>
      <c r="H52" s="103"/>
      <c r="I52" s="40"/>
      <c r="J52" s="40"/>
      <c r="K52" s="40"/>
    </row>
    <row r="53" spans="1:11" x14ac:dyDescent="0.2">
      <c r="A53" s="103" t="s">
        <v>67</v>
      </c>
      <c r="B53" s="103"/>
      <c r="C53" s="103"/>
      <c r="D53" s="103"/>
      <c r="E53" s="103"/>
      <c r="F53" s="103"/>
      <c r="G53" s="103"/>
      <c r="H53" s="103"/>
      <c r="I53" s="40"/>
      <c r="J53" s="40"/>
      <c r="K53" s="40"/>
    </row>
    <row r="73" spans="8:8" x14ac:dyDescent="0.2">
      <c r="H73" s="37"/>
    </row>
  </sheetData>
  <mergeCells count="45">
    <mergeCell ref="A7:G7"/>
    <mergeCell ref="B22:D22"/>
    <mergeCell ref="B23:D23"/>
    <mergeCell ref="B13:D13"/>
    <mergeCell ref="A13:A20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52:H52"/>
    <mergeCell ref="A53:H53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9" zoomScale="93" zoomScaleNormal="100" zoomScaleSheetLayoutView="93" workbookViewId="0">
      <selection activeCell="C48" sqref="C48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111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20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710.49</v>
      </c>
      <c r="G14" s="51">
        <f>E14*F14+1591.02</f>
        <v>3515.7374099999997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3591.1371406153844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v>1587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116.15+80</f>
        <v>196.15</v>
      </c>
    </row>
    <row r="31" spans="1:9" x14ac:dyDescent="0.2">
      <c r="A31" s="2"/>
      <c r="B31" s="121" t="s">
        <v>86</v>
      </c>
      <c r="C31" s="122"/>
      <c r="D31" s="123"/>
      <c r="E31" s="49">
        <v>503.34</v>
      </c>
      <c r="F31" s="65">
        <v>1</v>
      </c>
      <c r="G31" s="51">
        <f t="shared" si="0"/>
        <v>503.34</v>
      </c>
    </row>
    <row r="32" spans="1:9" x14ac:dyDescent="0.2">
      <c r="A32" s="2"/>
      <c r="B32" s="121" t="s">
        <v>87</v>
      </c>
      <c r="C32" s="122"/>
      <c r="D32" s="123"/>
      <c r="E32" s="49">
        <v>321.8</v>
      </c>
      <c r="F32" s="65">
        <v>1</v>
      </c>
      <c r="G32" s="51">
        <f t="shared" si="0"/>
        <v>321.8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2608.2900000000004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6199.4271406153848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229.06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132.84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68.89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430.78999999999996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6630.2171406153848</v>
      </c>
      <c r="H45" s="58"/>
    </row>
    <row r="47" spans="1:9" x14ac:dyDescent="0.2">
      <c r="A47" s="101" t="s">
        <v>49</v>
      </c>
      <c r="B47" s="101"/>
      <c r="C47" s="64">
        <v>0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12344.015638000001</v>
      </c>
      <c r="B50" s="94"/>
      <c r="F50" s="96">
        <f>C47+A50-G45</f>
        <v>5713.798497384616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view="pageBreakPreview" topLeftCell="A13" zoomScale="93" zoomScaleNormal="100" zoomScaleSheetLayoutView="93" workbookViewId="0">
      <selection activeCell="A50" sqref="A50:B50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140625" bestFit="1" customWidth="1"/>
    <col min="8" max="8" width="12" style="36" hidden="1" customWidth="1"/>
    <col min="9" max="9" width="11.28515625" bestFit="1" customWidth="1"/>
    <col min="11" max="11" width="9.85546875" bestFit="1" customWidth="1"/>
  </cols>
  <sheetData>
    <row r="7" spans="1:8" x14ac:dyDescent="0.2">
      <c r="A7" s="134" t="s">
        <v>97</v>
      </c>
      <c r="B7" s="134"/>
      <c r="C7" s="134"/>
      <c r="D7" s="134"/>
      <c r="E7" s="134"/>
      <c r="F7" s="134"/>
      <c r="G7" s="134"/>
    </row>
    <row r="9" spans="1:8" x14ac:dyDescent="0.2">
      <c r="A9" s="100" t="s">
        <v>115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3" t="s">
        <v>4</v>
      </c>
      <c r="B10" s="42" t="s">
        <v>16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35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6"/>
      <c r="B14" s="121" t="s">
        <v>68</v>
      </c>
      <c r="C14" s="122"/>
      <c r="D14" s="123"/>
      <c r="E14" s="49">
        <v>2.7090000000000001</v>
      </c>
      <c r="F14" s="69">
        <v>296.42500000000001</v>
      </c>
      <c r="G14" s="51">
        <f>E14*F14+650.61</f>
        <v>1453.625325</v>
      </c>
      <c r="H14" s="38"/>
    </row>
    <row r="15" spans="1:8" x14ac:dyDescent="0.2">
      <c r="A15" s="136"/>
      <c r="B15" s="121" t="s">
        <v>42</v>
      </c>
      <c r="C15" s="122"/>
      <c r="D15" s="123"/>
      <c r="E15" s="49">
        <v>44</v>
      </c>
      <c r="F15" s="65">
        <v>2</v>
      </c>
      <c r="G15" s="51">
        <f t="shared" ref="G15:G34" si="0">E15*F15*32.41%</f>
        <v>28.520799999999994</v>
      </c>
      <c r="H15" s="38"/>
    </row>
    <row r="16" spans="1:8" x14ac:dyDescent="0.2">
      <c r="A16" s="136"/>
      <c r="B16" s="121" t="s">
        <v>69</v>
      </c>
      <c r="C16" s="122"/>
      <c r="D16" s="123"/>
      <c r="E16" s="48">
        <v>2.9929999999999999</v>
      </c>
      <c r="F16" s="69">
        <v>2.984</v>
      </c>
      <c r="G16" s="51">
        <f>E16*F16*32.41%+7.28</f>
        <v>10.1745733992</v>
      </c>
      <c r="H16" s="38"/>
    </row>
    <row r="17" spans="1:11" x14ac:dyDescent="0.2">
      <c r="A17" s="136"/>
      <c r="B17" s="121" t="s">
        <v>73</v>
      </c>
      <c r="C17" s="122"/>
      <c r="D17" s="123"/>
      <c r="E17" s="49"/>
      <c r="F17" s="65"/>
      <c r="G17" s="51">
        <v>42.78</v>
      </c>
      <c r="H17" s="38"/>
    </row>
    <row r="18" spans="1:11" x14ac:dyDescent="0.2">
      <c r="A18" s="136"/>
      <c r="B18" s="121" t="s">
        <v>100</v>
      </c>
      <c r="C18" s="122"/>
      <c r="D18" s="123"/>
      <c r="E18" s="49">
        <v>14.46</v>
      </c>
      <c r="F18" s="65"/>
      <c r="G18" s="51">
        <f t="shared" si="0"/>
        <v>0</v>
      </c>
      <c r="H18" s="38"/>
    </row>
    <row r="19" spans="1:11" x14ac:dyDescent="0.2">
      <c r="A19" s="136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11" x14ac:dyDescent="0.2">
      <c r="A20" s="137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1535.1006983991999</v>
      </c>
    </row>
    <row r="21" spans="1:11" x14ac:dyDescent="0.2">
      <c r="A21" s="3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11" x14ac:dyDescent="0.2">
      <c r="A22" s="3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11" x14ac:dyDescent="0.2">
      <c r="A23" s="3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11" x14ac:dyDescent="0.2">
      <c r="A24" s="3"/>
      <c r="B24" s="121" t="s">
        <v>79</v>
      </c>
      <c r="C24" s="122"/>
      <c r="D24" s="123"/>
      <c r="E24" s="49">
        <v>21</v>
      </c>
      <c r="F24" s="65"/>
      <c r="G24" s="91">
        <f t="shared" si="0"/>
        <v>0</v>
      </c>
    </row>
    <row r="25" spans="1:11" x14ac:dyDescent="0.2">
      <c r="A25" s="3"/>
      <c r="B25" s="121" t="s">
        <v>80</v>
      </c>
      <c r="C25" s="122"/>
      <c r="D25" s="123"/>
      <c r="E25" s="49">
        <v>12</v>
      </c>
      <c r="F25" s="65"/>
      <c r="G25" s="91">
        <f t="shared" si="0"/>
        <v>0</v>
      </c>
    </row>
    <row r="26" spans="1:11" x14ac:dyDescent="0.2">
      <c r="A26" s="3"/>
      <c r="B26" s="121" t="s">
        <v>81</v>
      </c>
      <c r="C26" s="122"/>
      <c r="D26" s="123"/>
      <c r="E26" s="49">
        <v>39</v>
      </c>
      <c r="F26" s="65"/>
      <c r="G26" s="91">
        <f t="shared" si="0"/>
        <v>0</v>
      </c>
      <c r="K26" s="72"/>
    </row>
    <row r="27" spans="1:11" x14ac:dyDescent="0.2">
      <c r="A27" s="3"/>
      <c r="B27" s="121" t="s">
        <v>82</v>
      </c>
      <c r="C27" s="122"/>
      <c r="D27" s="123"/>
      <c r="E27" s="49">
        <v>69</v>
      </c>
      <c r="F27" s="65"/>
      <c r="G27" s="91">
        <v>156.54</v>
      </c>
      <c r="K27" s="72"/>
    </row>
    <row r="28" spans="1:11" x14ac:dyDescent="0.2">
      <c r="A28" s="3"/>
      <c r="B28" s="121" t="s">
        <v>83</v>
      </c>
      <c r="C28" s="122"/>
      <c r="D28" s="123"/>
      <c r="E28" s="49"/>
      <c r="F28" s="65"/>
      <c r="G28" s="91">
        <f t="shared" si="0"/>
        <v>0</v>
      </c>
    </row>
    <row r="29" spans="1:11" x14ac:dyDescent="0.2">
      <c r="A29" s="3"/>
      <c r="B29" s="121" t="s">
        <v>84</v>
      </c>
      <c r="C29" s="122"/>
      <c r="D29" s="123"/>
      <c r="E29" s="49"/>
      <c r="F29" s="65"/>
      <c r="G29" s="91">
        <f t="shared" si="0"/>
        <v>0</v>
      </c>
    </row>
    <row r="30" spans="1:11" x14ac:dyDescent="0.2">
      <c r="A30" s="3"/>
      <c r="B30" s="121" t="s">
        <v>85</v>
      </c>
      <c r="C30" s="122"/>
      <c r="D30" s="123"/>
      <c r="E30" s="49"/>
      <c r="F30" s="65"/>
      <c r="G30" s="91">
        <f>37.64+35.65</f>
        <v>73.289999999999992</v>
      </c>
    </row>
    <row r="31" spans="1:11" x14ac:dyDescent="0.2">
      <c r="A31" s="3"/>
      <c r="B31" s="121" t="s">
        <v>86</v>
      </c>
      <c r="C31" s="122"/>
      <c r="D31" s="123"/>
      <c r="E31" s="49">
        <v>532.32000000000005</v>
      </c>
      <c r="F31" s="71">
        <v>1</v>
      </c>
      <c r="G31" s="91">
        <v>138.03</v>
      </c>
    </row>
    <row r="32" spans="1:11" x14ac:dyDescent="0.2">
      <c r="A32" s="3"/>
      <c r="B32" s="121" t="s">
        <v>87</v>
      </c>
      <c r="C32" s="122"/>
      <c r="D32" s="123"/>
      <c r="E32" s="49">
        <v>340.39</v>
      </c>
      <c r="F32" s="71">
        <v>1</v>
      </c>
      <c r="G32" s="91">
        <v>88.25</v>
      </c>
    </row>
    <row r="33" spans="1:9" x14ac:dyDescent="0.2">
      <c r="A33" s="3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3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456.11</v>
      </c>
    </row>
    <row r="35" spans="1:9" x14ac:dyDescent="0.2">
      <c r="A35" s="133" t="s">
        <v>65</v>
      </c>
      <c r="B35" s="133"/>
      <c r="C35" s="133"/>
      <c r="D35" s="133"/>
      <c r="E35" s="133"/>
      <c r="F35" s="133"/>
      <c r="G35" s="52">
        <f>SUM(G14:G34)</f>
        <v>1991.2106983991998</v>
      </c>
      <c r="I35" s="72">
        <f>G35-1991.21</f>
        <v>6.9839919979131082E-4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7" t="s">
        <v>59</v>
      </c>
      <c r="B39" s="102" t="s">
        <v>91</v>
      </c>
      <c r="C39" s="102"/>
      <c r="D39" s="102"/>
      <c r="E39" s="102"/>
      <c r="F39" s="102"/>
      <c r="G39" s="62">
        <v>53.02</v>
      </c>
      <c r="H39" s="45"/>
    </row>
    <row r="40" spans="1:9" x14ac:dyDescent="0.2">
      <c r="A40" s="57" t="s">
        <v>60</v>
      </c>
      <c r="B40" s="102" t="s">
        <v>93</v>
      </c>
      <c r="C40" s="102"/>
      <c r="D40" s="102"/>
      <c r="E40" s="102"/>
      <c r="F40" s="102"/>
      <c r="G40" s="62">
        <v>30.74</v>
      </c>
      <c r="H40" s="38"/>
    </row>
    <row r="41" spans="1:9" x14ac:dyDescent="0.2">
      <c r="A41" s="57" t="s">
        <v>59</v>
      </c>
      <c r="B41" s="102" t="s">
        <v>92</v>
      </c>
      <c r="C41" s="102"/>
      <c r="D41" s="102"/>
      <c r="E41" s="102"/>
      <c r="F41" s="102"/>
      <c r="G41" s="62">
        <v>15.97</v>
      </c>
      <c r="H41" s="38"/>
    </row>
    <row r="42" spans="1:9" x14ac:dyDescent="0.2">
      <c r="A42" s="57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133" t="s">
        <v>65</v>
      </c>
      <c r="B43" s="133"/>
      <c r="C43" s="133"/>
      <c r="D43" s="133"/>
      <c r="E43" s="133"/>
      <c r="F43" s="133"/>
      <c r="G43" s="52">
        <f>SUM(G39:G42)</f>
        <v>99.73</v>
      </c>
      <c r="H43" s="38"/>
    </row>
    <row r="44" spans="1:9" x14ac:dyDescent="0.2">
      <c r="A44" s="59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2090.9406983991998</v>
      </c>
      <c r="H45" s="58"/>
    </row>
    <row r="46" spans="1:9" x14ac:dyDescent="0.2">
      <c r="A46"/>
    </row>
    <row r="47" spans="1:9" x14ac:dyDescent="0.2">
      <c r="A47" s="101" t="s">
        <v>49</v>
      </c>
      <c r="B47" s="101"/>
      <c r="C47" s="64">
        <v>1362.71</v>
      </c>
    </row>
    <row r="48" spans="1:9" x14ac:dyDescent="0.2">
      <c r="A48"/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612.90253138260005</v>
      </c>
      <c r="B50" s="94"/>
      <c r="F50" s="96">
        <f>C47+A50-G45</f>
        <v>-115.32816701659976</v>
      </c>
      <c r="G50" s="96"/>
    </row>
    <row r="51" spans="1:8" x14ac:dyDescent="0.2">
      <c r="A51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 s="30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9" zoomScale="93" zoomScaleNormal="100" zoomScaleSheetLayoutView="93" workbookViewId="0">
      <selection activeCell="C48" sqref="C48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9.85546875" bestFit="1" customWidth="1"/>
    <col min="6" max="6" width="11.5703125" customWidth="1"/>
    <col min="7" max="7" width="11.28515625" customWidth="1"/>
    <col min="8" max="8" width="6.85546875" style="36" hidden="1" customWidth="1"/>
    <col min="9" max="9" width="11.28515625" bestFit="1" customWidth="1"/>
  </cols>
  <sheetData>
    <row r="7" spans="1:8" x14ac:dyDescent="0.2">
      <c r="A7" s="134" t="s">
        <v>97</v>
      </c>
      <c r="B7" s="134"/>
      <c r="C7" s="134"/>
      <c r="D7" s="134"/>
      <c r="E7" s="134"/>
      <c r="F7" s="134"/>
      <c r="G7" s="134"/>
    </row>
    <row r="9" spans="1:8" x14ac:dyDescent="0.2">
      <c r="A9" s="100" t="s">
        <v>114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3" t="s">
        <v>4</v>
      </c>
      <c r="B10" s="42" t="s">
        <v>16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35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36"/>
      <c r="B14" s="121" t="s">
        <v>68</v>
      </c>
      <c r="C14" s="122"/>
      <c r="D14" s="123"/>
      <c r="E14" s="49">
        <v>2.7090000000000001</v>
      </c>
      <c r="F14" s="69">
        <v>618.19000000000005</v>
      </c>
      <c r="G14" s="51">
        <f>E14*F14+1356.84</f>
        <v>3031.5167099999999</v>
      </c>
      <c r="H14" s="38"/>
    </row>
    <row r="15" spans="1:8" x14ac:dyDescent="0.2">
      <c r="A15" s="136"/>
      <c r="B15" s="121" t="s">
        <v>42</v>
      </c>
      <c r="C15" s="122"/>
      <c r="D15" s="123"/>
      <c r="E15" s="49">
        <v>44</v>
      </c>
      <c r="F15" s="65">
        <v>2</v>
      </c>
      <c r="G15" s="51">
        <f>E15*F15*67.59%</f>
        <v>59.479200000000006</v>
      </c>
      <c r="H15" s="38"/>
    </row>
    <row r="16" spans="1:8" x14ac:dyDescent="0.2">
      <c r="A16" s="136"/>
      <c r="B16" s="121" t="s">
        <v>69</v>
      </c>
      <c r="C16" s="122"/>
      <c r="D16" s="123"/>
      <c r="E16" s="48">
        <v>2.9929999999999999</v>
      </c>
      <c r="F16" s="69">
        <v>2.9830000000000001</v>
      </c>
      <c r="G16" s="51">
        <f>E16*F16*67.59%+15.19</f>
        <v>21.224515632100001</v>
      </c>
      <c r="H16" s="38"/>
    </row>
    <row r="17" spans="1:9" x14ac:dyDescent="0.2">
      <c r="A17" s="136"/>
      <c r="B17" s="121" t="s">
        <v>73</v>
      </c>
      <c r="C17" s="122"/>
      <c r="D17" s="123"/>
      <c r="E17" s="49"/>
      <c r="F17" s="65"/>
      <c r="G17" s="51">
        <v>89.22</v>
      </c>
      <c r="H17" s="38"/>
    </row>
    <row r="18" spans="1:9" x14ac:dyDescent="0.2">
      <c r="A18" s="136"/>
      <c r="B18" s="121" t="s">
        <v>100</v>
      </c>
      <c r="C18" s="122"/>
      <c r="D18" s="123"/>
      <c r="E18" s="49">
        <v>14.46</v>
      </c>
      <c r="F18" s="65"/>
      <c r="G18" s="51">
        <f t="shared" ref="G18:G34" si="0">E18*F18*67.59%</f>
        <v>0</v>
      </c>
      <c r="H18" s="38"/>
    </row>
    <row r="19" spans="1:9" x14ac:dyDescent="0.2">
      <c r="A19" s="136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37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3201.4404256321</v>
      </c>
    </row>
    <row r="21" spans="1:9" x14ac:dyDescent="0.2">
      <c r="A21" s="3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3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3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3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3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3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3"/>
      <c r="B27" s="121" t="s">
        <v>82</v>
      </c>
      <c r="C27" s="122"/>
      <c r="D27" s="123"/>
      <c r="E27" s="49"/>
      <c r="F27" s="65"/>
      <c r="G27" s="51">
        <v>326.45999999999998</v>
      </c>
    </row>
    <row r="28" spans="1:9" x14ac:dyDescent="0.2">
      <c r="A28" s="3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3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3"/>
      <c r="B30" s="121" t="s">
        <v>85</v>
      </c>
      <c r="C30" s="122"/>
      <c r="D30" s="123"/>
      <c r="E30" s="49"/>
      <c r="F30" s="65"/>
      <c r="G30" s="51">
        <f>78.51+74.35</f>
        <v>152.86000000000001</v>
      </c>
    </row>
    <row r="31" spans="1:9" x14ac:dyDescent="0.2">
      <c r="A31" s="3"/>
      <c r="B31" s="121" t="s">
        <v>86</v>
      </c>
      <c r="C31" s="122"/>
      <c r="D31" s="123"/>
      <c r="E31" s="49">
        <v>532.32000000000005</v>
      </c>
      <c r="F31" s="71">
        <v>1</v>
      </c>
      <c r="G31" s="51">
        <v>394.33</v>
      </c>
    </row>
    <row r="32" spans="1:9" x14ac:dyDescent="0.2">
      <c r="A32" s="3"/>
      <c r="B32" s="121" t="s">
        <v>87</v>
      </c>
      <c r="C32" s="122"/>
      <c r="D32" s="123"/>
      <c r="E32" s="49">
        <v>340.39</v>
      </c>
      <c r="F32" s="71">
        <v>1</v>
      </c>
      <c r="G32" s="51">
        <v>252.14</v>
      </c>
    </row>
    <row r="33" spans="1:9" x14ac:dyDescent="0.2">
      <c r="A33" s="3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3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1125.79</v>
      </c>
    </row>
    <row r="35" spans="1:9" x14ac:dyDescent="0.2">
      <c r="A35" s="133" t="s">
        <v>65</v>
      </c>
      <c r="B35" s="133"/>
      <c r="C35" s="133"/>
      <c r="D35" s="133"/>
      <c r="E35" s="133"/>
      <c r="F35" s="133"/>
      <c r="G35" s="52">
        <f>G14+G15+G16+G17+G18+G20+G22+G23+G24+G25+G26+G27+G28+G29+G30+G31+G32+G33+G34</f>
        <v>4327.2304256321004</v>
      </c>
      <c r="I35" s="72">
        <f>4327.23-G35</f>
        <v>-4.2563210081425495E-4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7" t="s">
        <v>59</v>
      </c>
      <c r="B39" s="102" t="s">
        <v>91</v>
      </c>
      <c r="C39" s="102"/>
      <c r="D39" s="102"/>
      <c r="E39" s="102"/>
      <c r="F39" s="102"/>
      <c r="G39" s="62">
        <v>110.45</v>
      </c>
      <c r="H39" s="45"/>
    </row>
    <row r="40" spans="1:9" x14ac:dyDescent="0.2">
      <c r="A40" s="57" t="s">
        <v>60</v>
      </c>
      <c r="B40" s="102" t="s">
        <v>93</v>
      </c>
      <c r="C40" s="102"/>
      <c r="D40" s="102"/>
      <c r="E40" s="102"/>
      <c r="F40" s="102"/>
      <c r="G40" s="62">
        <v>64.06</v>
      </c>
      <c r="H40" s="38"/>
    </row>
    <row r="41" spans="1:9" x14ac:dyDescent="0.2">
      <c r="A41" s="57" t="s">
        <v>59</v>
      </c>
      <c r="B41" s="102" t="s">
        <v>92</v>
      </c>
      <c r="C41" s="102"/>
      <c r="D41" s="102"/>
      <c r="E41" s="102"/>
      <c r="F41" s="102"/>
      <c r="G41" s="62">
        <v>33.229999999999997</v>
      </c>
      <c r="H41" s="38"/>
    </row>
    <row r="42" spans="1:9" x14ac:dyDescent="0.2">
      <c r="A42" s="57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133" t="s">
        <v>65</v>
      </c>
      <c r="B43" s="133"/>
      <c r="C43" s="133"/>
      <c r="D43" s="133"/>
      <c r="E43" s="133"/>
      <c r="F43" s="133"/>
      <c r="G43" s="52">
        <f>SUM(G39:G42)</f>
        <v>207.73999999999998</v>
      </c>
      <c r="H43" s="38"/>
    </row>
    <row r="44" spans="1:9" x14ac:dyDescent="0.2">
      <c r="A44" s="59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4534.9704256321002</v>
      </c>
      <c r="H45" s="58"/>
    </row>
    <row r="46" spans="1:9" x14ac:dyDescent="0.2">
      <c r="A46"/>
    </row>
    <row r="47" spans="1:9" x14ac:dyDescent="0.2">
      <c r="A47" s="101" t="s">
        <v>49</v>
      </c>
      <c r="B47" s="101"/>
      <c r="C47" s="64">
        <v>2956.48</v>
      </c>
    </row>
    <row r="48" spans="1:9" x14ac:dyDescent="0.2">
      <c r="A48"/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2609.1586546174003</v>
      </c>
      <c r="B50" s="94"/>
      <c r="F50" s="96">
        <f>C47+A50-G45</f>
        <v>1030.6682289852997</v>
      </c>
      <c r="G50" s="96"/>
    </row>
    <row r="51" spans="1:8" x14ac:dyDescent="0.2">
      <c r="A51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4" spans="1:8" x14ac:dyDescent="0.2">
      <c r="A54"/>
    </row>
    <row r="55" spans="1:8" x14ac:dyDescent="0.2">
      <c r="A55"/>
    </row>
    <row r="56" spans="1:8" x14ac:dyDescent="0.2">
      <c r="A56"/>
    </row>
    <row r="57" spans="1:8" x14ac:dyDescent="0.2">
      <c r="A57"/>
    </row>
    <row r="58" spans="1:8" x14ac:dyDescent="0.2">
      <c r="A58" s="30"/>
      <c r="B58" s="29"/>
      <c r="C58" s="29"/>
      <c r="D58" s="29"/>
      <c r="E58" s="29"/>
      <c r="F58" s="29"/>
    </row>
  </sheetData>
  <mergeCells count="45">
    <mergeCell ref="A7:G7"/>
    <mergeCell ref="A9:H9"/>
    <mergeCell ref="A35:F35"/>
    <mergeCell ref="A37:H37"/>
    <mergeCell ref="A52:H52"/>
    <mergeCell ref="B13:D13"/>
    <mergeCell ref="B31:D31"/>
    <mergeCell ref="B32:D32"/>
    <mergeCell ref="B33:D33"/>
    <mergeCell ref="C10:H10"/>
    <mergeCell ref="A11:H11"/>
    <mergeCell ref="B12:H12"/>
    <mergeCell ref="B24:D24"/>
    <mergeCell ref="B25:D25"/>
    <mergeCell ref="B19:D19"/>
    <mergeCell ref="B20:D20"/>
    <mergeCell ref="A53:H53"/>
    <mergeCell ref="B21:D21"/>
    <mergeCell ref="B22:D22"/>
    <mergeCell ref="B23:D23"/>
    <mergeCell ref="B14:D14"/>
    <mergeCell ref="B15:D15"/>
    <mergeCell ref="B16:D16"/>
    <mergeCell ref="B17:D17"/>
    <mergeCell ref="B18:D18"/>
    <mergeCell ref="A13:A20"/>
    <mergeCell ref="B26:D26"/>
    <mergeCell ref="B27:D27"/>
    <mergeCell ref="B34:D34"/>
    <mergeCell ref="B28:D28"/>
    <mergeCell ref="B29:D29"/>
    <mergeCell ref="B30:D30"/>
    <mergeCell ref="A50:B50"/>
    <mergeCell ref="F49:G49"/>
    <mergeCell ref="F50:G50"/>
    <mergeCell ref="B38:F38"/>
    <mergeCell ref="A43:F43"/>
    <mergeCell ref="A45:F45"/>
    <mergeCell ref="A47:B47"/>
    <mergeCell ref="A49:B49"/>
    <mergeCell ref="B39:F39"/>
    <mergeCell ref="B40:F40"/>
    <mergeCell ref="B41:F41"/>
    <mergeCell ref="B44:F44"/>
    <mergeCell ref="B42:F4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9" zoomScale="93" zoomScaleNormal="100" zoomScaleSheetLayoutView="93" workbookViewId="0">
      <selection activeCell="F51" sqref="F51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112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10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344.56099999999998</v>
      </c>
      <c r="G14" s="51">
        <f>E14*F14+875.48</f>
        <v>1808.895749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/>
      <c r="G15" s="51">
        <f t="shared" ref="G15:G34" si="0">E15*F15</f>
        <v>0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1840.2954796153847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v>86.1</v>
      </c>
    </row>
    <row r="31" spans="1:9" x14ac:dyDescent="0.2">
      <c r="A31" s="2"/>
      <c r="B31" s="121" t="s">
        <v>86</v>
      </c>
      <c r="C31" s="122"/>
      <c r="D31" s="123"/>
      <c r="E31" s="49">
        <v>387.19</v>
      </c>
      <c r="F31" s="71">
        <v>1</v>
      </c>
      <c r="G31" s="51">
        <f t="shared" si="0"/>
        <v>387.19</v>
      </c>
    </row>
    <row r="32" spans="1:9" x14ac:dyDescent="0.2">
      <c r="A32" s="2"/>
      <c r="B32" s="121" t="s">
        <v>87</v>
      </c>
      <c r="C32" s="122"/>
      <c r="D32" s="123"/>
      <c r="E32" s="49">
        <v>247.54</v>
      </c>
      <c r="F32" s="71">
        <v>1</v>
      </c>
      <c r="G32" s="51">
        <f t="shared" si="0"/>
        <v>247.54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720.82999999999993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2561.1254796153844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100.87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58.5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30.33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189.7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2750.8254796153842</v>
      </c>
      <c r="H45" s="58"/>
      <c r="I45" s="80"/>
    </row>
    <row r="47" spans="1:9" x14ac:dyDescent="0.2">
      <c r="A47" s="101" t="s">
        <v>49</v>
      </c>
      <c r="B47" s="101"/>
      <c r="C47" s="64">
        <v>3477.91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5907.3047499999984</v>
      </c>
      <c r="B50" s="94"/>
      <c r="F50" s="96">
        <f>C47+A50-G45-0.01</f>
        <v>6634.3792703846148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9" zoomScale="93" zoomScaleNormal="100" zoomScaleSheetLayoutView="93" workbookViewId="0">
      <selection activeCell="F51" sqref="F51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2.8554687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113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13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531.71500000000003</v>
      </c>
      <c r="G14" s="51">
        <f>E14*F14+816.99</f>
        <v>2257.4059350000002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2.9860000000000002</v>
      </c>
      <c r="G16" s="51">
        <f>E16*F16+22.47</f>
        <v>31.407097999999998</v>
      </c>
      <c r="H16" s="38"/>
    </row>
    <row r="17" spans="1:9" x14ac:dyDescent="0.2">
      <c r="A17" s="125"/>
      <c r="B17" s="121" t="s">
        <v>73</v>
      </c>
      <c r="C17" s="122"/>
      <c r="D17" s="123"/>
      <c r="E17" s="49">
        <v>132</v>
      </c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2332.8130330000004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6.16+80</f>
        <v>86.16</v>
      </c>
    </row>
    <row r="31" spans="1:9" x14ac:dyDescent="0.2">
      <c r="A31" s="2"/>
      <c r="B31" s="121" t="s">
        <v>86</v>
      </c>
      <c r="C31" s="122"/>
      <c r="D31" s="123"/>
      <c r="E31" s="49"/>
      <c r="F31" s="65"/>
      <c r="G31" s="51">
        <f t="shared" si="0"/>
        <v>0</v>
      </c>
    </row>
    <row r="32" spans="1:9" x14ac:dyDescent="0.2">
      <c r="A32" s="2"/>
      <c r="B32" s="121" t="s">
        <v>87</v>
      </c>
      <c r="C32" s="122"/>
      <c r="D32" s="123"/>
      <c r="E32" s="49"/>
      <c r="F32" s="65"/>
      <c r="G32" s="51">
        <f t="shared" si="0"/>
        <v>0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86.16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2418.9730330000002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115.5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67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34.74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217.24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2636.213033</v>
      </c>
      <c r="H45" s="58"/>
    </row>
    <row r="47" spans="1:9" x14ac:dyDescent="0.2">
      <c r="A47" s="101" t="s">
        <v>49</v>
      </c>
      <c r="B47" s="101"/>
      <c r="C47" s="64">
        <v>3460.5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9045.8270529999991</v>
      </c>
      <c r="B50" s="94"/>
      <c r="F50" s="96">
        <f>C47+A50-G45+0.01</f>
        <v>9870.1240199999993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</sheetData>
  <mergeCells count="45">
    <mergeCell ref="A7:G7"/>
    <mergeCell ref="A52:H52"/>
    <mergeCell ref="A53:H53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3:F43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39:F39"/>
    <mergeCell ref="B40:F40"/>
    <mergeCell ref="B41:F41"/>
    <mergeCell ref="A35:F35"/>
    <mergeCell ref="B42:F42"/>
    <mergeCell ref="A49:B49"/>
    <mergeCell ref="A50:B50"/>
    <mergeCell ref="F49:G49"/>
    <mergeCell ref="F50:G50"/>
    <mergeCell ref="B44:F44"/>
    <mergeCell ref="A45:F45"/>
    <mergeCell ref="A47:B47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F51" sqref="F51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116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15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420.43</v>
      </c>
      <c r="G14" s="51">
        <f>E14*F14+928.69</f>
        <v>2067.6348699999999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>
        <v>132</v>
      </c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2143.0346006153845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v>69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86.15+80</f>
        <v>166.15</v>
      </c>
    </row>
    <row r="31" spans="1:9" x14ac:dyDescent="0.2">
      <c r="A31" s="2"/>
      <c r="B31" s="121" t="s">
        <v>86</v>
      </c>
      <c r="C31" s="122"/>
      <c r="D31" s="123"/>
      <c r="E31" s="49"/>
      <c r="F31" s="65"/>
      <c r="G31" s="51">
        <f t="shared" si="0"/>
        <v>0</v>
      </c>
    </row>
    <row r="32" spans="1:9" x14ac:dyDescent="0.2">
      <c r="A32" s="2"/>
      <c r="B32" s="121" t="s">
        <v>87</v>
      </c>
      <c r="C32" s="122"/>
      <c r="D32" s="123"/>
      <c r="E32" s="49"/>
      <c r="F32" s="65"/>
      <c r="G32" s="51">
        <f t="shared" si="0"/>
        <v>0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235.15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2378.1846006153846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124.59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72.260000000000005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37.479999999999997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234.33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2612.5146006153846</v>
      </c>
      <c r="H45" s="58"/>
    </row>
    <row r="47" spans="1:9" x14ac:dyDescent="0.2">
      <c r="A47" s="101" t="s">
        <v>49</v>
      </c>
      <c r="B47" s="101"/>
      <c r="C47" s="64">
        <f>2884.11*2</f>
        <v>5768.22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6291.9960620000002</v>
      </c>
      <c r="B50" s="94"/>
      <c r="F50" s="96">
        <f>C47+A50-G45+0.01</f>
        <v>9447.7114613846152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A49:B49"/>
    <mergeCell ref="A50:B50"/>
    <mergeCell ref="F49:G49"/>
    <mergeCell ref="F50:G50"/>
    <mergeCell ref="B41:F41"/>
    <mergeCell ref="B44:F44"/>
    <mergeCell ref="B38:F38"/>
    <mergeCell ref="A43:F43"/>
    <mergeCell ref="A45:F45"/>
    <mergeCell ref="A47:B47"/>
    <mergeCell ref="B19:D19"/>
    <mergeCell ref="B20:D20"/>
    <mergeCell ref="B42:F42"/>
    <mergeCell ref="A52:H5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35:F35"/>
    <mergeCell ref="A37:H37"/>
    <mergeCell ref="B39:F39"/>
    <mergeCell ref="B40:F4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6"/>
  <sheetViews>
    <sheetView view="pageBreakPreview" topLeftCell="A12" zoomScale="93" zoomScaleNormal="100" zoomScaleSheetLayoutView="93" workbookViewId="0">
      <selection activeCell="G42" sqref="G4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117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19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645.56200000000001</v>
      </c>
      <c r="G14" s="51">
        <f>E14*F14+1331.34</f>
        <v>3080.1674579999999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3155.5671886153846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>
        <v>1</v>
      </c>
      <c r="G26" s="51">
        <f t="shared" si="0"/>
        <v>39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116.15+110</f>
        <v>226.15</v>
      </c>
    </row>
    <row r="31" spans="1:9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963.34999999999991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4118.9171886153845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165.17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95.78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49.67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310.62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4429.5371886153844</v>
      </c>
      <c r="H45" s="58"/>
    </row>
    <row r="46" spans="1:9" x14ac:dyDescent="0.2">
      <c r="A46" s="29"/>
      <c r="B46" s="29"/>
      <c r="C46" s="29"/>
      <c r="D46" s="29"/>
      <c r="E46" s="29"/>
      <c r="F46" s="29"/>
      <c r="G46" s="29"/>
    </row>
    <row r="47" spans="1:9" x14ac:dyDescent="0.2">
      <c r="A47" s="130" t="s">
        <v>49</v>
      </c>
      <c r="B47" s="130"/>
      <c r="C47" s="64">
        <v>4703.45</v>
      </c>
      <c r="D47" s="29"/>
      <c r="E47" s="29"/>
      <c r="F47" s="29"/>
      <c r="G47" s="29"/>
    </row>
    <row r="48" spans="1:9" x14ac:dyDescent="0.2">
      <c r="A48" s="29"/>
      <c r="B48" s="29"/>
      <c r="C48" s="29"/>
      <c r="D48" s="29"/>
      <c r="E48" s="29"/>
      <c r="F48" s="29"/>
      <c r="G48" s="29"/>
    </row>
    <row r="49" spans="1:8" x14ac:dyDescent="0.2">
      <c r="A49" s="131" t="s">
        <v>94</v>
      </c>
      <c r="B49" s="131"/>
      <c r="C49" s="29"/>
      <c r="D49" s="29"/>
      <c r="E49" s="29"/>
      <c r="F49" s="132" t="s">
        <v>95</v>
      </c>
      <c r="G49" s="132"/>
    </row>
    <row r="50" spans="1:8" x14ac:dyDescent="0.2">
      <c r="A50" s="93">
        <v>8667.7458579999984</v>
      </c>
      <c r="B50" s="94"/>
      <c r="C50" s="29"/>
      <c r="D50" s="29"/>
      <c r="E50" s="29"/>
      <c r="F50" s="96">
        <f>C47+A50-G45</f>
        <v>8941.6586693846148</v>
      </c>
      <c r="G50" s="96"/>
    </row>
    <row r="51" spans="1:8" x14ac:dyDescent="0.2">
      <c r="A51" s="29"/>
      <c r="B51" s="29"/>
      <c r="C51" s="29"/>
      <c r="D51" s="29"/>
      <c r="E51" s="29"/>
      <c r="F51" s="29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</sheetData>
  <mergeCells count="45">
    <mergeCell ref="A7:G7"/>
    <mergeCell ref="A52:H52"/>
    <mergeCell ref="A53:H53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  <mergeCell ref="A13:A20"/>
    <mergeCell ref="B34:D34"/>
    <mergeCell ref="B28:D28"/>
    <mergeCell ref="B29:D29"/>
    <mergeCell ref="B30:D30"/>
    <mergeCell ref="B31:D31"/>
    <mergeCell ref="B32:D32"/>
    <mergeCell ref="B33:D33"/>
    <mergeCell ref="B19:D19"/>
    <mergeCell ref="B20:D20"/>
    <mergeCell ref="B25:D25"/>
    <mergeCell ref="B26:D26"/>
    <mergeCell ref="B27:D27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6"/>
  <sheetViews>
    <sheetView tabSelected="1" view="pageBreakPreview" topLeftCell="B1" zoomScale="93" zoomScaleNormal="100" zoomScaleSheetLayoutView="93" workbookViewId="0">
      <selection activeCell="I14" sqref="I14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2.140625" style="36" customWidth="1"/>
    <col min="10" max="11" width="12.42578125" bestFit="1" customWidth="1"/>
  </cols>
  <sheetData>
    <row r="7" spans="1:11" x14ac:dyDescent="0.2">
      <c r="A7" s="113" t="s">
        <v>97</v>
      </c>
      <c r="B7" s="113"/>
      <c r="C7" s="113"/>
      <c r="D7" s="113"/>
      <c r="E7" s="113"/>
      <c r="F7" s="113"/>
      <c r="G7" s="113"/>
    </row>
    <row r="9" spans="1:11" x14ac:dyDescent="0.2">
      <c r="A9" s="100" t="s">
        <v>118</v>
      </c>
      <c r="B9" s="100"/>
      <c r="C9" s="100"/>
      <c r="D9" s="100"/>
      <c r="E9" s="100"/>
      <c r="F9" s="100"/>
      <c r="G9" s="100"/>
      <c r="H9" s="100"/>
      <c r="I9" s="84"/>
    </row>
    <row r="10" spans="1:11" x14ac:dyDescent="0.2">
      <c r="A10" s="42" t="s">
        <v>4</v>
      </c>
      <c r="B10" s="42" t="s">
        <v>19</v>
      </c>
      <c r="C10" s="109"/>
      <c r="D10" s="109"/>
      <c r="E10" s="109"/>
      <c r="F10" s="109"/>
      <c r="G10" s="109"/>
      <c r="H10" s="109"/>
      <c r="I10" s="85"/>
    </row>
    <row r="11" spans="1:11" x14ac:dyDescent="0.2">
      <c r="A11" s="100" t="s">
        <v>61</v>
      </c>
      <c r="B11" s="100"/>
      <c r="C11" s="100"/>
      <c r="D11" s="100"/>
      <c r="E11" s="100"/>
      <c r="F11" s="100"/>
      <c r="G11" s="100"/>
      <c r="H11" s="100"/>
      <c r="I11" s="84"/>
    </row>
    <row r="12" spans="1:11" x14ac:dyDescent="0.2">
      <c r="A12" s="75" t="s">
        <v>57</v>
      </c>
      <c r="B12" s="110" t="s">
        <v>58</v>
      </c>
      <c r="C12" s="111"/>
      <c r="D12" s="111"/>
      <c r="E12" s="111"/>
      <c r="F12" s="111"/>
      <c r="G12" s="111"/>
      <c r="H12" s="112"/>
      <c r="I12" s="86"/>
    </row>
    <row r="13" spans="1:11" x14ac:dyDescent="0.2">
      <c r="A13" s="124" t="s">
        <v>63</v>
      </c>
      <c r="B13" s="114" t="s">
        <v>62</v>
      </c>
      <c r="C13" s="115"/>
      <c r="D13" s="116"/>
      <c r="E13" s="73" t="s">
        <v>70</v>
      </c>
      <c r="F13" s="73" t="s">
        <v>71</v>
      </c>
      <c r="G13" s="45" t="s">
        <v>72</v>
      </c>
      <c r="H13" s="45"/>
      <c r="I13" s="2" t="s">
        <v>119</v>
      </c>
      <c r="J13" s="2" t="s">
        <v>120</v>
      </c>
      <c r="K13" s="2" t="s">
        <v>34</v>
      </c>
    </row>
    <row r="14" spans="1:11" x14ac:dyDescent="0.2">
      <c r="A14" s="125"/>
      <c r="B14" s="121" t="s">
        <v>68</v>
      </c>
      <c r="C14" s="122"/>
      <c r="D14" s="123"/>
      <c r="E14" s="49">
        <v>2.7090000000000001</v>
      </c>
      <c r="F14" s="78"/>
      <c r="G14" s="51">
        <f>Acaiaca!G14+Alvinópolis!G14+'Amparo do Serra'!G14+Guaraciaba!G14+'Barra Longa'!G14+'Dom Silvério'!G14+'Sem Peixe'!G14+Jequeri!G14+Piedade!G14+'Raul Soares'!G14+Grama!G14+Goiabal!G14+'Santa Cruz'!G14+'Rio Doce'!G14+'São Pedro'!G14+Urucânia!G14+0.04</f>
        <v>37221.568871000003</v>
      </c>
      <c r="H14" s="38"/>
      <c r="I14" s="83">
        <v>20289.419999999998</v>
      </c>
      <c r="J14" s="83">
        <v>16932.150000000001</v>
      </c>
      <c r="K14" s="83">
        <f>J14+I14</f>
        <v>37221.57</v>
      </c>
    </row>
    <row r="15" spans="1:11" x14ac:dyDescent="0.2">
      <c r="A15" s="125"/>
      <c r="B15" s="121" t="s">
        <v>42</v>
      </c>
      <c r="C15" s="122"/>
      <c r="D15" s="123"/>
      <c r="E15" s="49">
        <v>44</v>
      </c>
      <c r="F15" s="78"/>
      <c r="G15" s="51">
        <f>Acaiaca!G15+Alvinópolis!G15+'Amparo do Serra'!G15+Guaraciaba!G15+'Barra Longa'!G15+'Dom Silvério'!G15+'Sem Peixe'!G15+Jequeri!G15+Piedade!G15+'Raul Soares'!G15+Grama!G15+Goiabal!G15+'Santa Cruz'!G15+'Rio Doce'!G15+'São Pedro'!G15+Urucânia!G15</f>
        <v>484</v>
      </c>
      <c r="H15" s="38"/>
      <c r="I15" s="83">
        <v>308</v>
      </c>
      <c r="J15" s="83">
        <v>176</v>
      </c>
      <c r="K15" s="83">
        <f>I15+J15</f>
        <v>484</v>
      </c>
    </row>
    <row r="16" spans="1:11" x14ac:dyDescent="0.2">
      <c r="A16" s="125"/>
      <c r="B16" s="121" t="s">
        <v>69</v>
      </c>
      <c r="C16" s="122"/>
      <c r="D16" s="123"/>
      <c r="E16" s="49">
        <v>2.7</v>
      </c>
      <c r="F16" s="78"/>
      <c r="G16" s="51">
        <f>Acaiaca!G16+Alvinópolis!G16+'Amparo do Serra'!G16+Guaraciaba!G16+'Barra Longa'!G16+'Dom Silvério'!G16+'Sem Peixe'!G16+Jequeri!G16+Piedade!G16+'Raul Soares'!G16+Grama!G16+Goiabal!G16+'Santa Cruz'!G16+'Rio Doce'!G16+'São Pedro'!G16+Urucânia!G16</f>
        <v>408.1929935697616</v>
      </c>
      <c r="H16" s="38"/>
      <c r="I16" s="83">
        <v>116.09</v>
      </c>
      <c r="J16" s="83">
        <v>292.11</v>
      </c>
      <c r="K16" s="83">
        <f>J16+I16</f>
        <v>408.20000000000005</v>
      </c>
    </row>
    <row r="17" spans="1:11" x14ac:dyDescent="0.2">
      <c r="A17" s="125"/>
      <c r="B17" s="121" t="s">
        <v>73</v>
      </c>
      <c r="C17" s="122"/>
      <c r="D17" s="123"/>
      <c r="E17" s="49"/>
      <c r="F17" s="78"/>
      <c r="G17" s="51">
        <f>Acaiaca!G17+Alvinópolis!G17+'Amparo do Serra'!G17+Guaraciaba!G17+'Barra Longa'!G17+'Dom Silvério'!G17+'Sem Peixe'!G17+Jequeri!G17+Piedade!G17+'Raul Soares'!G17+Grama!G17+Goiabal!G17+'Santa Cruz'!G17+'Rio Doce'!G17+'São Pedro'!G17+Urucânia!G17</f>
        <v>396</v>
      </c>
      <c r="H17" s="38"/>
      <c r="I17" s="83">
        <v>0</v>
      </c>
      <c r="J17" s="83">
        <v>396</v>
      </c>
      <c r="K17" s="83">
        <f>J17+I17</f>
        <v>396</v>
      </c>
    </row>
    <row r="18" spans="1:11" x14ac:dyDescent="0.2">
      <c r="A18" s="125"/>
      <c r="B18" s="121" t="s">
        <v>100</v>
      </c>
      <c r="C18" s="122"/>
      <c r="D18" s="123"/>
      <c r="E18" s="77"/>
      <c r="F18" s="78"/>
      <c r="G18" s="51">
        <f>Acaiaca!G18+Alvinópolis!G18+'Amparo do Serra'!G18+Guaraciaba!G18+'Barra Longa'!G18+'Dom Silvério'!G18+'Sem Peixe'!G18+Jequeri!G18+Piedade!G18+'Raul Soares'!G18+Grama!G18+Goiabal!G18+'Santa Cruz'!G18+'Rio Doce'!G18+'São Pedro'!G18+Urucânia!G18</f>
        <v>0</v>
      </c>
      <c r="H18" s="38"/>
      <c r="I18" s="87"/>
    </row>
    <row r="19" spans="1:11" x14ac:dyDescent="0.2">
      <c r="A19" s="125"/>
      <c r="B19" s="121" t="s">
        <v>74</v>
      </c>
      <c r="C19" s="122"/>
      <c r="D19" s="123"/>
      <c r="E19" s="68"/>
      <c r="F19" s="74"/>
      <c r="G19" s="51">
        <f>Acaiaca!G19+Alvinópolis!G19+'Amparo do Serra'!G19+Guaraciaba!G19+'Barra Longa'!G19+'Dom Silvério'!G19+'Sem Peixe'!G19+Jequeri!G19+Piedade!G19+'Raul Soares'!G19+Grama!G19+Goiabal!G19+'Santa Cruz'!G19+'Rio Doce'!G19+'São Pedro'!G19+Urucânia!G19</f>
        <v>0</v>
      </c>
      <c r="H19" s="38"/>
      <c r="I19" s="87"/>
    </row>
    <row r="20" spans="1:11" x14ac:dyDescent="0.2">
      <c r="A20" s="126"/>
      <c r="B20" s="106" t="s">
        <v>75</v>
      </c>
      <c r="C20" s="107"/>
      <c r="D20" s="108"/>
      <c r="E20" s="77"/>
      <c r="F20" s="78"/>
      <c r="G20" s="51">
        <f>Acaiaca!G20+Alvinópolis!G20+'Amparo do Serra'!G20+Guaraciaba!G20+'Barra Longa'!G20+'Dom Silvério'!G20+'Sem Peixe'!G20+Jequeri!G20+Piedade!G20+'Raul Soares'!G20+Grama!G20+Goiabal!G20+'Santa Cruz'!G20+'Rio Doce'!G20+'São Pedro'!G20+Urucânia!G20</f>
        <v>0</v>
      </c>
      <c r="H20" s="38"/>
      <c r="I20" s="87"/>
    </row>
    <row r="21" spans="1:11" x14ac:dyDescent="0.2">
      <c r="A21" s="2" t="s">
        <v>64</v>
      </c>
      <c r="B21" s="106" t="s">
        <v>76</v>
      </c>
      <c r="C21" s="107"/>
      <c r="D21" s="108"/>
      <c r="E21" s="77"/>
      <c r="F21" s="78"/>
      <c r="G21" s="51">
        <f>Acaiaca!G21+Alvinópolis!G21+'Amparo do Serra'!G21+Guaraciaba!G21+'Barra Longa'!G21+'Dom Silvério'!G21+'Sem Peixe'!G21+Jequeri!G21+Piedade!G21+'Raul Soares'!G21+Grama!G21+Goiabal!G21+'Santa Cruz'!G21+'Rio Doce'!G21+'São Pedro'!G21+Urucânia!G21</f>
        <v>0</v>
      </c>
      <c r="H21" s="38"/>
      <c r="I21" s="87"/>
    </row>
    <row r="22" spans="1:11" x14ac:dyDescent="0.2">
      <c r="A22" s="2"/>
      <c r="B22" s="121" t="s">
        <v>77</v>
      </c>
      <c r="C22" s="122"/>
      <c r="D22" s="123"/>
      <c r="E22" s="77"/>
      <c r="F22" s="78"/>
      <c r="G22" s="51">
        <f>Acaiaca!G22+Alvinópolis!G22+'Amparo do Serra'!G22+Guaraciaba!G22+'Barra Longa'!G22+'Dom Silvério'!G22+'Sem Peixe'!G22+Jequeri!G22+Piedade!G22+'Raul Soares'!G22+Grama!G22+Goiabal!G22+'Santa Cruz'!G22+'Rio Doce'!G22+'São Pedro'!G22+Urucânia!G22</f>
        <v>0</v>
      </c>
      <c r="H22" s="38"/>
      <c r="I22" s="87"/>
    </row>
    <row r="23" spans="1:11" x14ac:dyDescent="0.2">
      <c r="A23" s="2"/>
      <c r="B23" s="121" t="s">
        <v>78</v>
      </c>
      <c r="C23" s="122"/>
      <c r="D23" s="123"/>
      <c r="E23" s="49">
        <v>72.5</v>
      </c>
      <c r="F23" s="78"/>
      <c r="G23" s="51">
        <f>Acaiaca!G23+Alvinópolis!G23+'Amparo do Serra'!G23+Guaraciaba!G23+'Barra Longa'!G23+'Dom Silvério'!G23+'Sem Peixe'!G23+Jequeri!G23+Piedade!G23+'Raul Soares'!G23+Grama!G23+Goiabal!G23+'Santa Cruz'!G23+'Rio Doce'!G23+'São Pedro'!G23+Urucânia!G23</f>
        <v>145</v>
      </c>
      <c r="H23" s="38"/>
      <c r="I23" s="87"/>
    </row>
    <row r="24" spans="1:11" x14ac:dyDescent="0.2">
      <c r="A24" s="2"/>
      <c r="B24" s="121" t="s">
        <v>79</v>
      </c>
      <c r="C24" s="122"/>
      <c r="D24" s="123"/>
      <c r="E24" s="49">
        <v>21</v>
      </c>
      <c r="F24" s="78"/>
      <c r="G24" s="51">
        <f>Acaiaca!G24+Alvinópolis!G24+'Amparo do Serra'!G24+Guaraciaba!G24+'Barra Longa'!G24+'Dom Silvério'!G24+'Sem Peixe'!G24+Jequeri!G24+Piedade!G24+'Raul Soares'!G24+Grama!G24+Goiabal!G24+'Santa Cruz'!G24+'Rio Doce'!G24+'São Pedro'!G24+Urucânia!G24</f>
        <v>0</v>
      </c>
    </row>
    <row r="25" spans="1:11" x14ac:dyDescent="0.2">
      <c r="A25" s="2"/>
      <c r="B25" s="121" t="s">
        <v>80</v>
      </c>
      <c r="C25" s="122"/>
      <c r="D25" s="123"/>
      <c r="E25" s="49">
        <v>12</v>
      </c>
      <c r="F25" s="78"/>
      <c r="G25" s="51">
        <f>Acaiaca!G25+Alvinópolis!G25+'Amparo do Serra'!G25+Guaraciaba!G25+'Barra Longa'!G25+'Dom Silvério'!G25+'Sem Peixe'!G25+Jequeri!G25+Piedade!G25+'Raul Soares'!G25+Grama!G25+Goiabal!G25+'Santa Cruz'!G25+'Rio Doce'!G25+'São Pedro'!G25+Urucânia!G25</f>
        <v>0</v>
      </c>
    </row>
    <row r="26" spans="1:11" x14ac:dyDescent="0.2">
      <c r="A26" s="2"/>
      <c r="B26" s="121" t="s">
        <v>81</v>
      </c>
      <c r="C26" s="122"/>
      <c r="D26" s="123"/>
      <c r="E26" s="49">
        <v>39</v>
      </c>
      <c r="F26" s="78"/>
      <c r="G26" s="51">
        <f>Acaiaca!G26+Alvinópolis!G26+'Amparo do Serra'!G26+Guaraciaba!G26+'Barra Longa'!G26+'Dom Silvério'!G26+'Sem Peixe'!G26+Jequeri!G26+Piedade!G26+'Raul Soares'!G26+Grama!G26+Goiabal!G26+'Santa Cruz'!G26+'Rio Doce'!G26+'São Pedro'!G26+Urucânia!G26</f>
        <v>39</v>
      </c>
    </row>
    <row r="27" spans="1:11" x14ac:dyDescent="0.2">
      <c r="A27" s="2"/>
      <c r="B27" s="121" t="s">
        <v>82</v>
      </c>
      <c r="C27" s="122"/>
      <c r="D27" s="123"/>
      <c r="E27" s="49"/>
      <c r="F27" s="78"/>
      <c r="G27" s="51">
        <f>Acaiaca!G27+Alvinópolis!G27+'Amparo do Serra'!G27+Guaraciaba!G27+'Barra Longa'!G27+'Dom Silvério'!G27+'Sem Peixe'!G27+Jequeri!G27+Piedade!G27+'Raul Soares'!G27+Grama!G27+Goiabal!G27+'Santa Cruz'!G27+'Rio Doce'!G27+'São Pedro'!G27+Urucânia!G27</f>
        <v>3450</v>
      </c>
      <c r="J27" s="72"/>
    </row>
    <row r="28" spans="1:11" x14ac:dyDescent="0.2">
      <c r="A28" s="2"/>
      <c r="B28" s="121" t="s">
        <v>96</v>
      </c>
      <c r="C28" s="122"/>
      <c r="D28" s="123"/>
      <c r="E28" s="49"/>
      <c r="F28" s="78"/>
      <c r="G28" s="51">
        <f>Acaiaca!G28+Alvinópolis!G28+'Amparo do Serra'!G28+Guaraciaba!G28+'Barra Longa'!G28+'Dom Silvério'!G28+'Sem Peixe'!G28+Jequeri!G28+Piedade!G28+'Raul Soares'!G28+Grama!G28+Goiabal!G28+'Santa Cruz'!G28+'Rio Doce'!G28+'São Pedro'!G28+Urucânia!G28</f>
        <v>0</v>
      </c>
    </row>
    <row r="29" spans="1:11" x14ac:dyDescent="0.2">
      <c r="A29" s="2"/>
      <c r="B29" s="121" t="s">
        <v>84</v>
      </c>
      <c r="C29" s="122"/>
      <c r="D29" s="123"/>
      <c r="E29" s="49"/>
      <c r="F29" s="78"/>
      <c r="G29" s="51">
        <f>Acaiaca!G29+Alvinópolis!G29+'Amparo do Serra'!G29+Guaraciaba!G29+'Barra Longa'!G29+'Dom Silvério'!G29+'Sem Peixe'!G29+Jequeri!G29+Piedade!G29+'Raul Soares'!G29+Grama!G29+Goiabal!G29+'Santa Cruz'!G29+'Rio Doce'!G29+'São Pedro'!G29+Urucânia!G29</f>
        <v>0</v>
      </c>
    </row>
    <row r="30" spans="1:11" x14ac:dyDescent="0.2">
      <c r="A30" s="2"/>
      <c r="B30" s="121" t="s">
        <v>85</v>
      </c>
      <c r="C30" s="122"/>
      <c r="D30" s="123"/>
      <c r="E30" s="49"/>
      <c r="F30" s="78"/>
      <c r="G30" s="51">
        <f>Acaiaca!G30+Alvinópolis!G30+'Amparo do Serra'!G30+Guaraciaba!G30+'Barra Longa'!G30+'Dom Silvério'!G30+'Sem Peixe'!G30+Jequeri!G30+Piedade!G30+'Raul Soares'!G30+Grama!G30+Goiabal!G30+'Santa Cruz'!G30+'Rio Doce'!G30+'São Pedro'!G30+Urucânia!G30</f>
        <v>2119.9900000000002</v>
      </c>
      <c r="I30" s="52">
        <v>980</v>
      </c>
      <c r="J30" s="52">
        <v>1140</v>
      </c>
      <c r="K30" s="52">
        <f>I30+J30</f>
        <v>2120</v>
      </c>
    </row>
    <row r="31" spans="1:11" x14ac:dyDescent="0.2">
      <c r="A31" s="2"/>
      <c r="B31" s="121" t="s">
        <v>86</v>
      </c>
      <c r="C31" s="122"/>
      <c r="D31" s="123"/>
      <c r="E31" s="49">
        <v>425.9</v>
      </c>
      <c r="F31" s="78"/>
      <c r="G31" s="51">
        <f>Acaiaca!G31+Alvinópolis!G31+'Amparo do Serra'!G31+Guaraciaba!G31+'Barra Longa'!G31+'Dom Silvério'!G31+'Sem Peixe'!G31+Jequeri!G31+Piedade!G31+'Raul Soares'!G31+Grama!G31+Goiabal!G31+'Santa Cruz'!G31+'Rio Doce'!G31+'São Pedro'!G31+Urucânia!G31</f>
        <v>4772.0199999999995</v>
      </c>
      <c r="K31" s="72"/>
    </row>
    <row r="32" spans="1:11" x14ac:dyDescent="0.2">
      <c r="A32" s="2"/>
      <c r="B32" s="121" t="s">
        <v>87</v>
      </c>
      <c r="C32" s="122"/>
      <c r="D32" s="123"/>
      <c r="E32" s="49">
        <v>272.3</v>
      </c>
      <c r="F32" s="78"/>
      <c r="G32" s="51">
        <f>Acaiaca!G32+Alvinópolis!G32+'Amparo do Serra'!G32+Guaraciaba!G32+'Barra Longa'!G32+'Dom Silvério'!G32+'Sem Peixe'!G32+Jequeri!G32+Piedade!G32+'Raul Soares'!G32+Grama!G32+Goiabal!G32+'Santa Cruz'!G32+'Rio Doce'!G32+'São Pedro'!G32+Urucânia!G32</f>
        <v>3050.9900000000002</v>
      </c>
    </row>
    <row r="33" spans="1:9" x14ac:dyDescent="0.2">
      <c r="A33" s="2"/>
      <c r="B33" s="121" t="s">
        <v>88</v>
      </c>
      <c r="C33" s="122"/>
      <c r="D33" s="123"/>
      <c r="E33" s="49"/>
      <c r="F33" s="78"/>
      <c r="G33" s="51">
        <f>Acaiaca!G33+Alvinópolis!G33+'Amparo do Serra'!G33+Guaraciaba!G33+'Barra Longa'!G33+'Dom Silvério'!G33+'Sem Peixe'!G33+Jequeri!G33+Piedade!G33+'Raul Soares'!G33+Grama!G33+Goiabal!G33+'Santa Cruz'!G33+'Rio Doce'!G33+'São Pedro'!G33+Urucânia!G33</f>
        <v>0</v>
      </c>
    </row>
    <row r="34" spans="1:9" x14ac:dyDescent="0.2">
      <c r="A34" s="2"/>
      <c r="B34" s="121" t="s">
        <v>89</v>
      </c>
      <c r="C34" s="122"/>
      <c r="D34" s="123"/>
      <c r="E34" s="49"/>
      <c r="F34" s="78"/>
      <c r="G34" s="51">
        <f>Acaiaca!G34+Alvinópolis!G34+'Amparo do Serra'!G34+Guaraciaba!G34+'Barra Longa'!G34+'Dom Silvério'!G34+'Sem Peixe'!G34+Jequeri!G34+Piedade!G34+'Raul Soares'!G34+Grama!G34+Goiabal!G34+'Santa Cruz'!G34+'Rio Doce'!G34+'São Pedro'!G34+Urucânia!G34</f>
        <v>0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52086.761864569758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  <c r="I37" s="84"/>
    </row>
    <row r="38" spans="1:9" x14ac:dyDescent="0.2">
      <c r="A38" s="75" t="s">
        <v>57</v>
      </c>
      <c r="B38" s="98" t="s">
        <v>58</v>
      </c>
      <c r="C38" s="98"/>
      <c r="D38" s="98"/>
      <c r="E38" s="98"/>
      <c r="F38" s="98"/>
      <c r="G38" s="76" t="s">
        <v>6</v>
      </c>
      <c r="H38" s="61"/>
      <c r="I38" s="88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/>
      <c r="H39" s="45"/>
      <c r="I39" s="89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/>
      <c r="H40" s="38"/>
      <c r="I40" s="87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/>
      <c r="H41" s="38"/>
      <c r="I41" s="87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  <c r="I42" s="87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0</v>
      </c>
      <c r="H43" s="38"/>
      <c r="I43" s="87"/>
    </row>
    <row r="44" spans="1:9" x14ac:dyDescent="0.2">
      <c r="A44" s="55"/>
      <c r="B44" s="97"/>
      <c r="C44" s="97"/>
      <c r="D44" s="97"/>
      <c r="E44" s="97"/>
      <c r="F44" s="97"/>
      <c r="G44" s="56"/>
      <c r="H44" s="60"/>
      <c r="I44" s="87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52086.761864569758</v>
      </c>
      <c r="H45" s="58"/>
      <c r="I45" s="90"/>
    </row>
    <row r="46" spans="1:9" x14ac:dyDescent="0.2">
      <c r="A46" s="29"/>
      <c r="B46" s="29"/>
      <c r="C46" s="29"/>
      <c r="D46" s="29"/>
      <c r="E46" s="29"/>
      <c r="F46" s="29"/>
      <c r="G46" s="29"/>
    </row>
    <row r="47" spans="1:9" x14ac:dyDescent="0.2">
      <c r="A47" s="130" t="s">
        <v>49</v>
      </c>
      <c r="B47" s="130"/>
      <c r="C47" s="64">
        <v>4703.45</v>
      </c>
      <c r="D47" s="29"/>
      <c r="E47" s="29"/>
      <c r="F47" s="29"/>
      <c r="G47" s="29"/>
    </row>
    <row r="48" spans="1:9" x14ac:dyDescent="0.2">
      <c r="A48" s="29"/>
      <c r="B48" s="29"/>
      <c r="C48" s="29"/>
      <c r="D48" s="29"/>
      <c r="E48" s="29"/>
      <c r="F48" s="29"/>
      <c r="G48" s="29"/>
    </row>
    <row r="49" spans="1:9" x14ac:dyDescent="0.2">
      <c r="A49" s="131" t="s">
        <v>94</v>
      </c>
      <c r="B49" s="131"/>
      <c r="C49" s="29"/>
      <c r="D49" s="29"/>
      <c r="E49" s="29"/>
      <c r="F49" s="132" t="s">
        <v>95</v>
      </c>
      <c r="G49" s="132"/>
    </row>
    <row r="50" spans="1:9" x14ac:dyDescent="0.2">
      <c r="A50" s="93">
        <v>5145.4307683089992</v>
      </c>
      <c r="B50" s="94"/>
      <c r="C50" s="29"/>
      <c r="D50" s="29"/>
      <c r="E50" s="29"/>
      <c r="F50" s="96">
        <f>C47+A50-G45</f>
        <v>-42237.88109626076</v>
      </c>
      <c r="G50" s="96"/>
    </row>
    <row r="51" spans="1:9" x14ac:dyDescent="0.2">
      <c r="A51" s="29"/>
      <c r="B51" s="29"/>
      <c r="C51" s="29"/>
      <c r="D51" s="29"/>
      <c r="E51" s="29"/>
      <c r="F51" s="29"/>
    </row>
    <row r="52" spans="1:9" x14ac:dyDescent="0.2">
      <c r="A52" s="103" t="s">
        <v>66</v>
      </c>
      <c r="B52" s="103"/>
      <c r="C52" s="103"/>
      <c r="D52" s="103"/>
      <c r="E52" s="103"/>
      <c r="F52" s="103"/>
      <c r="G52" s="103"/>
      <c r="H52" s="103"/>
      <c r="I52" s="82"/>
    </row>
    <row r="53" spans="1:9" x14ac:dyDescent="0.2">
      <c r="A53" s="103" t="s">
        <v>67</v>
      </c>
      <c r="B53" s="103"/>
      <c r="C53" s="103"/>
      <c r="D53" s="103"/>
      <c r="E53" s="103"/>
      <c r="F53" s="103"/>
      <c r="G53" s="103"/>
      <c r="H53" s="103"/>
      <c r="I53" s="82"/>
    </row>
    <row r="54" spans="1:9" x14ac:dyDescent="0.2">
      <c r="A54" s="29"/>
      <c r="B54" s="29"/>
      <c r="C54" s="29"/>
      <c r="D54" s="29"/>
      <c r="E54" s="29"/>
      <c r="F54" s="29"/>
    </row>
    <row r="55" spans="1:9" x14ac:dyDescent="0.2">
      <c r="A55" s="29"/>
      <c r="B55" s="29"/>
      <c r="C55" s="29"/>
      <c r="D55" s="29"/>
      <c r="E55" s="29"/>
      <c r="F55" s="29"/>
    </row>
    <row r="56" spans="1:9" x14ac:dyDescent="0.2">
      <c r="A56" s="29"/>
      <c r="B56" s="29"/>
      <c r="C56" s="29"/>
      <c r="D56" s="29"/>
      <c r="E56" s="29"/>
      <c r="F56" s="29"/>
    </row>
  </sheetData>
  <mergeCells count="45">
    <mergeCell ref="A50:B50"/>
    <mergeCell ref="F50:G50"/>
    <mergeCell ref="A52:H52"/>
    <mergeCell ref="A53:H53"/>
    <mergeCell ref="A43:F43"/>
    <mergeCell ref="B44:F44"/>
    <mergeCell ref="A45:F45"/>
    <mergeCell ref="A47:B47"/>
    <mergeCell ref="A49:B49"/>
    <mergeCell ref="F49:G49"/>
    <mergeCell ref="B26:D26"/>
    <mergeCell ref="B27:D27"/>
    <mergeCell ref="B41:F41"/>
    <mergeCell ref="B29:D29"/>
    <mergeCell ref="B30:D30"/>
    <mergeCell ref="B31:D31"/>
    <mergeCell ref="B32:D32"/>
    <mergeCell ref="B33:D33"/>
    <mergeCell ref="B34:D34"/>
    <mergeCell ref="A35:F35"/>
    <mergeCell ref="A37:H37"/>
    <mergeCell ref="B38:F38"/>
    <mergeCell ref="B39:F39"/>
    <mergeCell ref="B40:F40"/>
    <mergeCell ref="A7:G7"/>
    <mergeCell ref="A9:H9"/>
    <mergeCell ref="C10:H10"/>
    <mergeCell ref="A11:H11"/>
    <mergeCell ref="B12:H12"/>
    <mergeCell ref="B42:F42"/>
    <mergeCell ref="A13:A20"/>
    <mergeCell ref="B13:D13"/>
    <mergeCell ref="B14:D14"/>
    <mergeCell ref="B15:D15"/>
    <mergeCell ref="B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K15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48" t="s">
        <v>3</v>
      </c>
      <c r="B1" s="149"/>
      <c r="C1" s="150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45" t="s">
        <v>50</v>
      </c>
      <c r="M1" s="146"/>
      <c r="N1" s="146"/>
      <c r="O1" s="14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38" t="s">
        <v>34</v>
      </c>
      <c r="H14" s="139"/>
      <c r="I14" s="140"/>
      <c r="J14" s="20"/>
      <c r="L14" s="138" t="s">
        <v>34</v>
      </c>
      <c r="M14" s="139"/>
      <c r="N14" s="14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41" t="s">
        <v>34</v>
      </c>
      <c r="B29" s="142"/>
      <c r="C29" s="142"/>
      <c r="D29" s="143"/>
      <c r="E29" s="24">
        <f>SUM(E3:E28)</f>
        <v>1395</v>
      </c>
      <c r="G29" s="138" t="s">
        <v>34</v>
      </c>
      <c r="H29" s="139"/>
      <c r="I29" s="140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44" t="s">
        <v>46</v>
      </c>
      <c r="B32" s="144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38" t="s">
        <v>34</v>
      </c>
      <c r="H44" s="139"/>
      <c r="I44" s="140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48" t="s">
        <v>3</v>
      </c>
      <c r="B1" s="149"/>
      <c r="C1" s="150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45" t="s">
        <v>50</v>
      </c>
      <c r="M1" s="146"/>
      <c r="N1" s="146"/>
      <c r="O1" s="14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38" t="s">
        <v>34</v>
      </c>
      <c r="H14" s="139"/>
      <c r="I14" s="140"/>
      <c r="J14" s="20">
        <f>SUM(J2:J13)</f>
        <v>128.04750000000001</v>
      </c>
      <c r="L14" s="138" t="s">
        <v>34</v>
      </c>
      <c r="M14" s="139"/>
      <c r="N14" s="14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41" t="s">
        <v>34</v>
      </c>
      <c r="B29" s="142"/>
      <c r="C29" s="142"/>
      <c r="D29" s="143"/>
      <c r="E29" s="24">
        <f>SUM(E3:E28)</f>
        <v>510</v>
      </c>
    </row>
    <row r="31" spans="1:5" x14ac:dyDescent="0.2">
      <c r="D31"/>
    </row>
    <row r="32" spans="1:5" x14ac:dyDescent="0.2">
      <c r="A32" s="144" t="s">
        <v>46</v>
      </c>
      <c r="B32" s="144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G35" sqref="G35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.140625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103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18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646.52099999999996</v>
      </c>
      <c r="G14" s="51">
        <f>E14*F14+1368.95</f>
        <v>3120.3753889999998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3195.7751196153845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>
        <v>1</v>
      </c>
      <c r="G23" s="51">
        <f t="shared" si="0"/>
        <v>72.5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96</v>
      </c>
      <c r="C28" s="122"/>
      <c r="D28" s="123"/>
      <c r="E28" s="49">
        <v>60</v>
      </c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86.16+110</f>
        <v>196.16</v>
      </c>
    </row>
    <row r="31" spans="1:9" x14ac:dyDescent="0.2">
      <c r="A31" s="2"/>
      <c r="B31" s="121" t="s">
        <v>86</v>
      </c>
      <c r="C31" s="122"/>
      <c r="D31" s="123"/>
      <c r="E31" s="49">
        <v>387.19</v>
      </c>
      <c r="F31" s="65">
        <v>1</v>
      </c>
      <c r="G31" s="51">
        <f t="shared" si="0"/>
        <v>387.19</v>
      </c>
    </row>
    <row r="32" spans="1:9" x14ac:dyDescent="0.2">
      <c r="A32" s="2"/>
      <c r="B32" s="121" t="s">
        <v>87</v>
      </c>
      <c r="C32" s="122"/>
      <c r="D32" s="123"/>
      <c r="E32" s="49">
        <v>247.54</v>
      </c>
      <c r="F32" s="65">
        <v>1</v>
      </c>
      <c r="G32" s="51">
        <f t="shared" si="0"/>
        <v>247.54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903.38999999999987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4099.1651196153844</v>
      </c>
      <c r="I35" s="72"/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177.55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102.98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53.39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333.92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4433.0851196153844</v>
      </c>
      <c r="H45" s="58"/>
    </row>
    <row r="47" spans="1:9" x14ac:dyDescent="0.2">
      <c r="A47" s="101" t="s">
        <v>49</v>
      </c>
      <c r="B47" s="101"/>
      <c r="C47" s="64">
        <v>4797.33</v>
      </c>
    </row>
    <row r="49" spans="1:9" x14ac:dyDescent="0.2">
      <c r="A49" s="120" t="s">
        <v>94</v>
      </c>
      <c r="B49" s="120"/>
      <c r="F49" s="95" t="s">
        <v>95</v>
      </c>
      <c r="G49" s="95"/>
      <c r="H49" s="37"/>
    </row>
    <row r="50" spans="1:9" x14ac:dyDescent="0.2">
      <c r="A50" s="93">
        <v>8105.971770000001</v>
      </c>
      <c r="B50" s="94"/>
      <c r="F50" s="96">
        <f>C47+A50-G45-0.01</f>
        <v>8470.2066503846163</v>
      </c>
      <c r="G50" s="96"/>
      <c r="I50" s="72"/>
    </row>
    <row r="52" spans="1:9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9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8" spans="1:9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21:D21"/>
    <mergeCell ref="B22:D22"/>
    <mergeCell ref="B23:D23"/>
    <mergeCell ref="A52:H52"/>
    <mergeCell ref="A35:F35"/>
    <mergeCell ref="A9:H9"/>
    <mergeCell ref="C10:H10"/>
    <mergeCell ref="A11:H11"/>
    <mergeCell ref="B12:H1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50:B50"/>
    <mergeCell ref="F49:G49"/>
    <mergeCell ref="F50:G50"/>
    <mergeCell ref="B38:F38"/>
    <mergeCell ref="A43:F43"/>
    <mergeCell ref="A45:F45"/>
    <mergeCell ref="A47:B47"/>
    <mergeCell ref="A49:B49"/>
    <mergeCell ref="B39:F39"/>
    <mergeCell ref="B40:F40"/>
    <mergeCell ref="B41:F41"/>
    <mergeCell ref="B44:F44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48" t="s">
        <v>3</v>
      </c>
      <c r="B1" s="149"/>
      <c r="C1" s="150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45" t="s">
        <v>50</v>
      </c>
      <c r="M1" s="146"/>
      <c r="N1" s="146"/>
      <c r="O1" s="147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38" t="s">
        <v>34</v>
      </c>
      <c r="H14" s="139"/>
      <c r="I14" s="140"/>
      <c r="J14" s="20"/>
      <c r="L14" s="138" t="s">
        <v>34</v>
      </c>
      <c r="M14" s="139"/>
      <c r="N14" s="140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41" t="s">
        <v>34</v>
      </c>
      <c r="B29" s="142"/>
      <c r="C29" s="142"/>
      <c r="D29" s="143"/>
      <c r="E29" s="24">
        <f>SUM(E3:E28)</f>
        <v>1000</v>
      </c>
      <c r="G29" s="138" t="s">
        <v>34</v>
      </c>
      <c r="H29" s="139"/>
      <c r="I29" s="140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44" t="s">
        <v>46</v>
      </c>
      <c r="B32" s="144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38" t="s">
        <v>34</v>
      </c>
      <c r="H44" s="139"/>
      <c r="I44" s="140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3"/>
  <sheetViews>
    <sheetView view="pageBreakPreview" topLeftCell="A19" zoomScale="93" zoomScaleNormal="100" zoomScaleSheetLayoutView="93" workbookViewId="0">
      <selection activeCell="A51" sqref="A51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10" width="9.8554687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104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12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256.16300000000001</v>
      </c>
      <c r="G14" s="51">
        <f>E14*F14+821.6</f>
        <v>1515.5455670000001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2.9830000000000001</v>
      </c>
      <c r="G16" s="51">
        <f>E16*F16/2+11.23</f>
        <v>15.694059500000002</v>
      </c>
      <c r="H16" s="38"/>
    </row>
    <row r="17" spans="1:10" x14ac:dyDescent="0.2">
      <c r="A17" s="125"/>
      <c r="B17" s="121" t="s">
        <v>73</v>
      </c>
      <c r="C17" s="122"/>
      <c r="D17" s="123"/>
      <c r="E17" s="49">
        <v>132</v>
      </c>
      <c r="F17" s="69"/>
      <c r="G17" s="51">
        <v>66</v>
      </c>
      <c r="H17" s="38"/>
    </row>
    <row r="18" spans="1:10" x14ac:dyDescent="0.2">
      <c r="A18" s="125"/>
      <c r="B18" s="121" t="s">
        <v>100</v>
      </c>
      <c r="C18" s="122"/>
      <c r="D18" s="123"/>
      <c r="E18" s="49">
        <v>14.46</v>
      </c>
      <c r="F18" s="65"/>
      <c r="G18" s="51">
        <f t="shared" si="0"/>
        <v>0</v>
      </c>
      <c r="H18" s="38"/>
    </row>
    <row r="19" spans="1:10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10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1619.2396265000002</v>
      </c>
    </row>
    <row r="21" spans="1:10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10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10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10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10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10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10" x14ac:dyDescent="0.2">
      <c r="A27" s="2"/>
      <c r="B27" s="121" t="s">
        <v>82</v>
      </c>
      <c r="C27" s="122"/>
      <c r="D27" s="123"/>
      <c r="E27" s="49">
        <v>976.6</v>
      </c>
      <c r="F27" s="65"/>
      <c r="G27" s="51">
        <v>69</v>
      </c>
      <c r="J27" s="72"/>
    </row>
    <row r="28" spans="1:10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10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10" x14ac:dyDescent="0.2">
      <c r="A30" s="2"/>
      <c r="B30" s="121" t="s">
        <v>85</v>
      </c>
      <c r="C30" s="122"/>
      <c r="D30" s="123"/>
      <c r="E30" s="49"/>
      <c r="F30" s="65"/>
      <c r="G30" s="51">
        <f>58.08+95</f>
        <v>153.07999999999998</v>
      </c>
    </row>
    <row r="31" spans="1:10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212.95</v>
      </c>
    </row>
    <row r="32" spans="1:10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571.17999999999995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2190.4196265</v>
      </c>
      <c r="I35" s="72"/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91.73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53.2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27.6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172.53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2362.9496265000002</v>
      </c>
      <c r="H45" s="58"/>
    </row>
    <row r="47" spans="1:9" x14ac:dyDescent="0.2">
      <c r="A47" s="101" t="s">
        <v>49</v>
      </c>
      <c r="B47" s="101"/>
      <c r="C47" s="64">
        <v>2481.35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3964.75</v>
      </c>
      <c r="B50" s="94"/>
      <c r="F50" s="96">
        <f>C47+A50-G45</f>
        <v>4083.1503735000001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</sheetData>
  <mergeCells count="45">
    <mergeCell ref="A7:G7"/>
    <mergeCell ref="B20:D20"/>
    <mergeCell ref="A53:H53"/>
    <mergeCell ref="A52:H52"/>
    <mergeCell ref="B31:D31"/>
    <mergeCell ref="B32:D32"/>
    <mergeCell ref="B33:D33"/>
    <mergeCell ref="A35:F35"/>
    <mergeCell ref="A37:H37"/>
    <mergeCell ref="B25:D25"/>
    <mergeCell ref="B26:D26"/>
    <mergeCell ref="B27:D27"/>
    <mergeCell ref="B34:D34"/>
    <mergeCell ref="B28:D28"/>
    <mergeCell ref="B29:D29"/>
    <mergeCell ref="B30:D30"/>
    <mergeCell ref="A9:H9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B15:D15"/>
    <mergeCell ref="B16:D16"/>
    <mergeCell ref="B17:D17"/>
    <mergeCell ref="B18:D18"/>
    <mergeCell ref="B19:D19"/>
    <mergeCell ref="A50:B50"/>
    <mergeCell ref="F49:G49"/>
    <mergeCell ref="F50:G50"/>
    <mergeCell ref="B38:F38"/>
    <mergeCell ref="A43:F43"/>
    <mergeCell ref="A45:F45"/>
    <mergeCell ref="A47:B47"/>
    <mergeCell ref="B39:F39"/>
    <mergeCell ref="B40:F40"/>
    <mergeCell ref="B41:F41"/>
    <mergeCell ref="B44:F44"/>
    <mergeCell ref="A49:B49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6" zoomScale="93" zoomScaleNormal="100" zoomScaleSheetLayoutView="93" workbookViewId="0">
      <selection activeCell="F50" sqref="F50:G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10" width="9.8554687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105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12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256.16300000000001</v>
      </c>
      <c r="G14" s="51">
        <f>E14*F14+821.6</f>
        <v>1515.5455670000001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2.9830000000000001</v>
      </c>
      <c r="G16" s="51">
        <f>E16*F16/2+11.23</f>
        <v>15.694059500000002</v>
      </c>
      <c r="H16" s="38"/>
    </row>
    <row r="17" spans="1:9" x14ac:dyDescent="0.2">
      <c r="A17" s="125"/>
      <c r="B17" s="121" t="s">
        <v>73</v>
      </c>
      <c r="C17" s="122"/>
      <c r="D17" s="123"/>
      <c r="E17" s="49">
        <v>132</v>
      </c>
      <c r="F17" s="65"/>
      <c r="G17" s="51">
        <v>66</v>
      </c>
      <c r="H17" s="38"/>
    </row>
    <row r="18" spans="1:9" x14ac:dyDescent="0.2">
      <c r="A18" s="125"/>
      <c r="B18" s="121" t="s">
        <v>100</v>
      </c>
      <c r="C18" s="122"/>
      <c r="D18" s="123"/>
      <c r="E18" s="49">
        <v>14.46</v>
      </c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1619.2396265000002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>
        <v>976.6</v>
      </c>
      <c r="F27" s="65"/>
      <c r="G27" s="51">
        <v>69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58.09+95</f>
        <v>153.09</v>
      </c>
    </row>
    <row r="31" spans="1:9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571.18999999999994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2190.4296265000003</v>
      </c>
      <c r="I35" s="72"/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91.73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53.2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27.59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172.52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2362.9496265000002</v>
      </c>
      <c r="H45" s="58"/>
    </row>
    <row r="47" spans="1:9" x14ac:dyDescent="0.2">
      <c r="A47" s="101" t="s">
        <v>49</v>
      </c>
      <c r="B47" s="101"/>
      <c r="C47" s="64">
        <v>2481.38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3964.5213950000002</v>
      </c>
      <c r="B50" s="94"/>
      <c r="F50" s="96">
        <f>C47+A50-G45</f>
        <v>4082.9517685000005</v>
      </c>
      <c r="G50" s="96"/>
    </row>
    <row r="51" spans="1:8" x14ac:dyDescent="0.2">
      <c r="A51" s="79" t="s">
        <v>101</v>
      </c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</sheetData>
  <mergeCells count="45">
    <mergeCell ref="A7:G7"/>
    <mergeCell ref="A52:H52"/>
    <mergeCell ref="A53:H53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3:F43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39:F39"/>
    <mergeCell ref="B40:F40"/>
    <mergeCell ref="B41:F41"/>
    <mergeCell ref="A35:F35"/>
    <mergeCell ref="B42:F42"/>
    <mergeCell ref="A49:B49"/>
    <mergeCell ref="A50:B50"/>
    <mergeCell ref="F49:G49"/>
    <mergeCell ref="F50:G50"/>
    <mergeCell ref="B44:F44"/>
    <mergeCell ref="A45:F45"/>
    <mergeCell ref="A47:B47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3" zoomScale="93" zoomScaleNormal="100" zoomScaleSheetLayoutView="93" workbookViewId="0">
      <selection activeCell="G35" sqref="G35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106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22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344.49099999999999</v>
      </c>
      <c r="G14" s="51">
        <f>E14*F14+1259.12</f>
        <v>2192.3461189999998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2267.7458496153845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v>345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36.16+110</f>
        <v>146.16</v>
      </c>
    </row>
    <row r="31" spans="1:9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425.9</v>
      </c>
    </row>
    <row r="32" spans="1:9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272.3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1189.3599999999999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3457.1058496153846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163.22999999999999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94.7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49.09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307.02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3764.1258496153846</v>
      </c>
      <c r="H45" s="58"/>
    </row>
    <row r="47" spans="1:9" x14ac:dyDescent="0.2">
      <c r="A47" s="101" t="s">
        <v>49</v>
      </c>
      <c r="B47" s="101"/>
      <c r="C47" s="64">
        <v>4987.18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11281.018110000001</v>
      </c>
      <c r="B50" s="94"/>
      <c r="F50" s="96">
        <f>C47+A50-G45</f>
        <v>12504.072260384617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B29:D29"/>
    <mergeCell ref="B30:D30"/>
    <mergeCell ref="B31:D31"/>
    <mergeCell ref="B32:D32"/>
    <mergeCell ref="B33:D33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4" zoomScale="93" zoomScaleNormal="100" zoomScaleSheetLayoutView="93" workbookViewId="0">
      <selection activeCell="G41" sqref="G41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107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14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302.798</v>
      </c>
      <c r="G14" s="51">
        <f>E14*F14+841.231</f>
        <v>1661.5107820000001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2.984</v>
      </c>
      <c r="G16" s="51">
        <f>E16*F16/2+11.24</f>
        <v>15.705556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51">
        <v>14.46</v>
      </c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1699.216338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>
        <v>1</v>
      </c>
      <c r="G23" s="51">
        <f t="shared" si="0"/>
        <v>36.25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96</v>
      </c>
      <c r="C28" s="122"/>
      <c r="D28" s="123"/>
      <c r="E28" s="49">
        <v>60</v>
      </c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58.08+40</f>
        <v>98.08</v>
      </c>
    </row>
    <row r="31" spans="1:9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483.42999999999995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2182.646338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77.3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44.82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23.24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145.36000000000001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2328.0063380000001</v>
      </c>
      <c r="H45" s="58"/>
    </row>
    <row r="47" spans="1:9" x14ac:dyDescent="0.2">
      <c r="A47" s="101" t="s">
        <v>49</v>
      </c>
      <c r="B47" s="101"/>
      <c r="C47" s="64">
        <v>1961.03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2697.6595950000001</v>
      </c>
      <c r="B50" s="94"/>
      <c r="F50" s="96">
        <f>C47+A50-G45</f>
        <v>2330.6832569999997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</sheetData>
  <mergeCells count="45">
    <mergeCell ref="A7:G7"/>
    <mergeCell ref="A53:H53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22" zoomScale="93" zoomScaleNormal="100" zoomScaleSheetLayoutView="93" workbookViewId="0">
      <selection activeCell="F50" sqref="F50:G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1" style="36" hidden="1" customWidth="1"/>
    <col min="9" max="9" width="13.140625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108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14</v>
      </c>
      <c r="C10" s="127"/>
      <c r="D10" s="128"/>
      <c r="E10" s="128"/>
      <c r="F10" s="128"/>
      <c r="G10" s="128"/>
      <c r="H10" s="12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302.798</v>
      </c>
      <c r="G14" s="51">
        <f>E14*F14+841.23</f>
        <v>1661.5097820000001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2.984</v>
      </c>
      <c r="G16" s="51">
        <f>E16*F16/2+11.23</f>
        <v>15.695556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51">
        <v>14.46</v>
      </c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1699.205338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>
        <v>1</v>
      </c>
      <c r="G23" s="51">
        <f t="shared" si="0"/>
        <v>36.25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f t="shared" si="0"/>
        <v>0</v>
      </c>
    </row>
    <row r="28" spans="1:9" x14ac:dyDescent="0.2">
      <c r="A28" s="2"/>
      <c r="B28" s="121" t="s">
        <v>96</v>
      </c>
      <c r="C28" s="122"/>
      <c r="D28" s="123"/>
      <c r="E28" s="49">
        <v>60</v>
      </c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58.08+40</f>
        <v>98.08</v>
      </c>
    </row>
    <row r="31" spans="1:9" x14ac:dyDescent="0.2">
      <c r="A31" s="2"/>
      <c r="B31" s="121" t="s">
        <v>86</v>
      </c>
      <c r="C31" s="122"/>
      <c r="D31" s="123"/>
      <c r="E31" s="49">
        <v>425.9</v>
      </c>
      <c r="F31" s="81">
        <v>1</v>
      </c>
      <c r="G31" s="51">
        <f t="shared" si="0"/>
        <v>212.95</v>
      </c>
    </row>
    <row r="32" spans="1:9" x14ac:dyDescent="0.2">
      <c r="A32" s="2"/>
      <c r="B32" s="121" t="s">
        <v>87</v>
      </c>
      <c r="C32" s="122"/>
      <c r="D32" s="123"/>
      <c r="E32" s="49">
        <v>272.3</v>
      </c>
      <c r="F32" s="81">
        <v>1</v>
      </c>
      <c r="G32" s="51">
        <f t="shared" si="0"/>
        <v>136.15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483.42999999999995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2182.635338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77.3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44.82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23.24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145.36000000000001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52">
        <f>G35+G43</f>
        <v>2327.9953380000002</v>
      </c>
    </row>
    <row r="46" spans="1:9" x14ac:dyDescent="0.2">
      <c r="H46" s="39"/>
    </row>
    <row r="47" spans="1:9" x14ac:dyDescent="0.2">
      <c r="A47" s="101" t="s">
        <v>49</v>
      </c>
      <c r="B47" s="101"/>
      <c r="C47" s="64">
        <v>1961.03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2697.6395949999996</v>
      </c>
      <c r="B50" s="94"/>
      <c r="F50" s="96">
        <f>C47+A50-G45</f>
        <v>2330.6742569999992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7" spans="1:8" x14ac:dyDescent="0.2">
      <c r="A57" s="2"/>
      <c r="B57" s="23"/>
      <c r="C57" s="29"/>
      <c r="D57" s="29"/>
      <c r="E57" s="29"/>
      <c r="F57" s="29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B32:D32"/>
    <mergeCell ref="B33:D33"/>
    <mergeCell ref="A35:F35"/>
    <mergeCell ref="A37:H37"/>
    <mergeCell ref="B38:F38"/>
    <mergeCell ref="A49:B49"/>
    <mergeCell ref="A50:B50"/>
    <mergeCell ref="F49:G49"/>
    <mergeCell ref="F50:G50"/>
    <mergeCell ref="B39:F39"/>
    <mergeCell ref="B40:F40"/>
    <mergeCell ref="B41:F41"/>
    <mergeCell ref="B44:F44"/>
    <mergeCell ref="A43:F43"/>
    <mergeCell ref="A45:F45"/>
    <mergeCell ref="A47:B47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22" zoomScale="93" zoomScaleNormal="100" zoomScaleSheetLayoutView="93" workbookViewId="0">
      <selection activeCell="F50" sqref="F50:G50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109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21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898.14</v>
      </c>
      <c r="G14" s="51">
        <f>E14*F14+2024.33</f>
        <v>4457.3912600000003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/>
      <c r="G15" s="51">
        <f t="shared" ref="G15:G34" si="0">E15*F15</f>
        <v>0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/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4488.7909906153845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v>276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86.16+110</f>
        <v>196.16</v>
      </c>
    </row>
    <row r="31" spans="1:9" x14ac:dyDescent="0.2">
      <c r="A31" s="2"/>
      <c r="B31" s="121" t="s">
        <v>86</v>
      </c>
      <c r="C31" s="122"/>
      <c r="D31" s="123"/>
      <c r="E31" s="49">
        <v>445.25</v>
      </c>
      <c r="F31" s="65">
        <v>1</v>
      </c>
      <c r="G31" s="51">
        <f t="shared" si="0"/>
        <v>445.25</v>
      </c>
    </row>
    <row r="32" spans="1:9" x14ac:dyDescent="0.2">
      <c r="A32" s="2"/>
      <c r="B32" s="121" t="s">
        <v>87</v>
      </c>
      <c r="C32" s="122"/>
      <c r="D32" s="123"/>
      <c r="E32" s="49">
        <v>284.68</v>
      </c>
      <c r="F32" s="65">
        <v>1</v>
      </c>
      <c r="G32" s="51">
        <f t="shared" si="0"/>
        <v>284.68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1202.0899999999999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5690.8809906153847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231.94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134.54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69.77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436.25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6127.1309906153847</v>
      </c>
      <c r="H45" s="58"/>
    </row>
    <row r="47" spans="1:9" x14ac:dyDescent="0.2">
      <c r="A47" s="101" t="s">
        <v>49</v>
      </c>
      <c r="B47" s="101"/>
      <c r="C47" s="64">
        <v>5599.39</v>
      </c>
    </row>
    <row r="49" spans="1:8" x14ac:dyDescent="0.2">
      <c r="A49" s="120" t="s">
        <v>94</v>
      </c>
      <c r="B49" s="120"/>
      <c r="F49" s="95" t="s">
        <v>95</v>
      </c>
      <c r="G49" s="95"/>
    </row>
    <row r="50" spans="1:8" x14ac:dyDescent="0.2">
      <c r="A50" s="93">
        <v>10727.150054000002</v>
      </c>
      <c r="B50" s="94"/>
      <c r="F50" s="96">
        <f>C47+A50-G45</f>
        <v>10199.409063384617</v>
      </c>
      <c r="G50" s="96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F50" sqref="F50:G50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9.85546875" bestFit="1" customWidth="1"/>
    <col min="6" max="6" width="10.85546875" customWidth="1"/>
    <col min="7" max="7" width="13.7109375" customWidth="1"/>
    <col min="8" max="8" width="12" style="36" hidden="1" customWidth="1"/>
    <col min="9" max="9" width="11.28515625" bestFit="1" customWidth="1"/>
  </cols>
  <sheetData>
    <row r="7" spans="1:8" x14ac:dyDescent="0.2">
      <c r="A7" s="113" t="s">
        <v>97</v>
      </c>
      <c r="B7" s="113"/>
      <c r="C7" s="113"/>
      <c r="D7" s="113"/>
      <c r="E7" s="113"/>
      <c r="F7" s="113"/>
      <c r="G7" s="113"/>
    </row>
    <row r="9" spans="1:8" x14ac:dyDescent="0.2">
      <c r="A9" s="100" t="s">
        <v>110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42" t="s">
        <v>4</v>
      </c>
      <c r="B10" s="42" t="s">
        <v>17</v>
      </c>
      <c r="C10" s="109"/>
      <c r="D10" s="109"/>
      <c r="E10" s="109"/>
      <c r="F10" s="109"/>
      <c r="G10" s="109"/>
      <c r="H10" s="109"/>
    </row>
    <row r="11" spans="1:8" x14ac:dyDescent="0.2">
      <c r="A11" s="100" t="s">
        <v>61</v>
      </c>
      <c r="B11" s="100"/>
      <c r="C11" s="100"/>
      <c r="D11" s="100"/>
      <c r="E11" s="100"/>
      <c r="F11" s="100"/>
      <c r="G11" s="100"/>
      <c r="H11" s="100"/>
    </row>
    <row r="12" spans="1:8" x14ac:dyDescent="0.2">
      <c r="A12" s="44" t="s">
        <v>57</v>
      </c>
      <c r="B12" s="110" t="s">
        <v>58</v>
      </c>
      <c r="C12" s="111"/>
      <c r="D12" s="111"/>
      <c r="E12" s="111"/>
      <c r="F12" s="111"/>
      <c r="G12" s="111"/>
      <c r="H12" s="112"/>
    </row>
    <row r="13" spans="1:8" x14ac:dyDescent="0.2">
      <c r="A13" s="124" t="s">
        <v>63</v>
      </c>
      <c r="B13" s="114" t="s">
        <v>62</v>
      </c>
      <c r="C13" s="115"/>
      <c r="D13" s="116"/>
      <c r="E13" s="46" t="s">
        <v>70</v>
      </c>
      <c r="F13" s="46" t="s">
        <v>71</v>
      </c>
      <c r="G13" s="45" t="s">
        <v>72</v>
      </c>
      <c r="H13" s="45"/>
    </row>
    <row r="14" spans="1:8" x14ac:dyDescent="0.2">
      <c r="A14" s="125"/>
      <c r="B14" s="121" t="s">
        <v>68</v>
      </c>
      <c r="C14" s="122"/>
      <c r="D14" s="123"/>
      <c r="E14" s="49">
        <v>2.7090000000000001</v>
      </c>
      <c r="F14" s="65">
        <v>420.36</v>
      </c>
      <c r="G14" s="51">
        <f>E14*F14+655.48</f>
        <v>1794.23524</v>
      </c>
      <c r="H14" s="38"/>
    </row>
    <row r="15" spans="1:8" x14ac:dyDescent="0.2">
      <c r="A15" s="125"/>
      <c r="B15" s="121" t="s">
        <v>42</v>
      </c>
      <c r="C15" s="122"/>
      <c r="D15" s="123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">
      <c r="A16" s="125"/>
      <c r="B16" s="121" t="s">
        <v>69</v>
      </c>
      <c r="C16" s="122"/>
      <c r="D16" s="123"/>
      <c r="E16" s="48">
        <v>2.9929999999999999</v>
      </c>
      <c r="F16" s="69">
        <v>2.9835384615384615</v>
      </c>
      <c r="G16" s="51">
        <f>E16*F16+22.47</f>
        <v>31.399730615384613</v>
      </c>
      <c r="H16" s="38"/>
    </row>
    <row r="17" spans="1:9" x14ac:dyDescent="0.2">
      <c r="A17" s="125"/>
      <c r="B17" s="121" t="s">
        <v>73</v>
      </c>
      <c r="C17" s="122"/>
      <c r="D17" s="123"/>
      <c r="E17" s="49">
        <v>132</v>
      </c>
      <c r="F17" s="65"/>
      <c r="G17" s="51">
        <f t="shared" si="0"/>
        <v>0</v>
      </c>
      <c r="H17" s="38"/>
    </row>
    <row r="18" spans="1:9" x14ac:dyDescent="0.2">
      <c r="A18" s="125"/>
      <c r="B18" s="121" t="s">
        <v>100</v>
      </c>
      <c r="C18" s="122"/>
      <c r="D18" s="123"/>
      <c r="E18" s="41"/>
      <c r="F18" s="65"/>
      <c r="G18" s="51">
        <f t="shared" si="0"/>
        <v>0</v>
      </c>
      <c r="H18" s="38"/>
    </row>
    <row r="19" spans="1:9" x14ac:dyDescent="0.2">
      <c r="A19" s="125"/>
      <c r="B19" s="121" t="s">
        <v>74</v>
      </c>
      <c r="C19" s="122"/>
      <c r="D19" s="123"/>
      <c r="E19" s="68"/>
      <c r="F19" s="66"/>
      <c r="G19" s="51">
        <f t="shared" si="0"/>
        <v>0</v>
      </c>
      <c r="H19" s="38"/>
    </row>
    <row r="20" spans="1:9" x14ac:dyDescent="0.2">
      <c r="A20" s="126"/>
      <c r="B20" s="106" t="s">
        <v>75</v>
      </c>
      <c r="C20" s="107"/>
      <c r="D20" s="108"/>
      <c r="E20" s="41"/>
      <c r="F20" s="65"/>
      <c r="G20" s="51">
        <f t="shared" si="0"/>
        <v>0</v>
      </c>
      <c r="H20" s="38"/>
      <c r="I20" s="72">
        <f>G14+G15+G16+G17+G18+G19+G20</f>
        <v>1869.6349706153846</v>
      </c>
    </row>
    <row r="21" spans="1:9" x14ac:dyDescent="0.2">
      <c r="A21" s="2" t="s">
        <v>64</v>
      </c>
      <c r="B21" s="106" t="s">
        <v>76</v>
      </c>
      <c r="C21" s="107"/>
      <c r="D21" s="108"/>
      <c r="E21" s="41"/>
      <c r="F21" s="65"/>
      <c r="G21" s="51">
        <f t="shared" si="0"/>
        <v>0</v>
      </c>
      <c r="H21" s="38"/>
    </row>
    <row r="22" spans="1:9" x14ac:dyDescent="0.2">
      <c r="A22" s="2"/>
      <c r="B22" s="121" t="s">
        <v>77</v>
      </c>
      <c r="C22" s="122"/>
      <c r="D22" s="123"/>
      <c r="E22" s="41"/>
      <c r="F22" s="65"/>
      <c r="G22" s="51">
        <v>0</v>
      </c>
      <c r="H22" s="38"/>
    </row>
    <row r="23" spans="1:9" x14ac:dyDescent="0.2">
      <c r="A23" s="2"/>
      <c r="B23" s="121" t="s">
        <v>78</v>
      </c>
      <c r="C23" s="122"/>
      <c r="D23" s="123"/>
      <c r="E23" s="49">
        <v>72.5</v>
      </c>
      <c r="F23" s="65"/>
      <c r="G23" s="51">
        <f t="shared" si="0"/>
        <v>0</v>
      </c>
      <c r="H23" s="38"/>
    </row>
    <row r="24" spans="1:9" x14ac:dyDescent="0.2">
      <c r="A24" s="2"/>
      <c r="B24" s="121" t="s">
        <v>79</v>
      </c>
      <c r="C24" s="122"/>
      <c r="D24" s="123"/>
      <c r="E24" s="49">
        <v>21</v>
      </c>
      <c r="F24" s="65"/>
      <c r="G24" s="51">
        <f t="shared" si="0"/>
        <v>0</v>
      </c>
    </row>
    <row r="25" spans="1:9" x14ac:dyDescent="0.2">
      <c r="A25" s="2"/>
      <c r="B25" s="121" t="s">
        <v>80</v>
      </c>
      <c r="C25" s="122"/>
      <c r="D25" s="123"/>
      <c r="E25" s="49">
        <v>12</v>
      </c>
      <c r="F25" s="65"/>
      <c r="G25" s="51">
        <f t="shared" si="0"/>
        <v>0</v>
      </c>
    </row>
    <row r="26" spans="1:9" x14ac:dyDescent="0.2">
      <c r="A26" s="2"/>
      <c r="B26" s="121" t="s">
        <v>81</v>
      </c>
      <c r="C26" s="122"/>
      <c r="D26" s="123"/>
      <c r="E26" s="49">
        <v>39</v>
      </c>
      <c r="F26" s="65"/>
      <c r="G26" s="51">
        <f t="shared" si="0"/>
        <v>0</v>
      </c>
    </row>
    <row r="27" spans="1:9" x14ac:dyDescent="0.2">
      <c r="A27" s="2"/>
      <c r="B27" s="121" t="s">
        <v>82</v>
      </c>
      <c r="C27" s="122"/>
      <c r="D27" s="123"/>
      <c r="E27" s="49"/>
      <c r="F27" s="65"/>
      <c r="G27" s="51">
        <v>345</v>
      </c>
    </row>
    <row r="28" spans="1:9" x14ac:dyDescent="0.2">
      <c r="A28" s="2"/>
      <c r="B28" s="121" t="s">
        <v>83</v>
      </c>
      <c r="C28" s="122"/>
      <c r="D28" s="123"/>
      <c r="E28" s="49"/>
      <c r="F28" s="65"/>
      <c r="G28" s="51">
        <f t="shared" si="0"/>
        <v>0</v>
      </c>
    </row>
    <row r="29" spans="1:9" x14ac:dyDescent="0.2">
      <c r="A29" s="2"/>
      <c r="B29" s="121" t="s">
        <v>84</v>
      </c>
      <c r="C29" s="122"/>
      <c r="D29" s="123"/>
      <c r="E29" s="49"/>
      <c r="F29" s="65"/>
      <c r="G29" s="51">
        <f t="shared" si="0"/>
        <v>0</v>
      </c>
    </row>
    <row r="30" spans="1:9" x14ac:dyDescent="0.2">
      <c r="A30" s="2"/>
      <c r="B30" s="121" t="s">
        <v>85</v>
      </c>
      <c r="C30" s="122"/>
      <c r="D30" s="123"/>
      <c r="E30" s="49"/>
      <c r="F30" s="65"/>
      <c r="G30" s="51">
        <f>6.16+80</f>
        <v>86.16</v>
      </c>
    </row>
    <row r="31" spans="1:9" x14ac:dyDescent="0.2">
      <c r="A31" s="2"/>
      <c r="B31" s="121" t="s">
        <v>86</v>
      </c>
      <c r="C31" s="122"/>
      <c r="D31" s="123"/>
      <c r="E31" s="49">
        <v>387.19</v>
      </c>
      <c r="F31" s="71">
        <v>1</v>
      </c>
      <c r="G31" s="51">
        <f>E31*F31</f>
        <v>387.19</v>
      </c>
    </row>
    <row r="32" spans="1:9" x14ac:dyDescent="0.2">
      <c r="A32" s="2"/>
      <c r="B32" s="121" t="s">
        <v>87</v>
      </c>
      <c r="C32" s="122"/>
      <c r="D32" s="123"/>
      <c r="E32" s="49">
        <v>247.54</v>
      </c>
      <c r="F32" s="71">
        <v>1</v>
      </c>
      <c r="G32" s="51">
        <f>E32*F32</f>
        <v>247.54</v>
      </c>
    </row>
    <row r="33" spans="1:9" x14ac:dyDescent="0.2">
      <c r="A33" s="2"/>
      <c r="B33" s="121" t="s">
        <v>88</v>
      </c>
      <c r="C33" s="122"/>
      <c r="D33" s="123"/>
      <c r="E33" s="49"/>
      <c r="F33" s="65"/>
      <c r="G33" s="51">
        <f t="shared" si="0"/>
        <v>0</v>
      </c>
    </row>
    <row r="34" spans="1:9" x14ac:dyDescent="0.2">
      <c r="A34" s="2"/>
      <c r="B34" s="121" t="s">
        <v>89</v>
      </c>
      <c r="C34" s="122"/>
      <c r="D34" s="123"/>
      <c r="E34" s="49"/>
      <c r="F34" s="65"/>
      <c r="G34" s="51">
        <f t="shared" si="0"/>
        <v>0</v>
      </c>
      <c r="I34" s="72">
        <f>G21+G22+G23+G24+G25+G26+G27+G28+G29+G30+G31+G32+G33+G34</f>
        <v>1065.8899999999999</v>
      </c>
    </row>
    <row r="35" spans="1:9" x14ac:dyDescent="0.2">
      <c r="A35" s="99" t="s">
        <v>65</v>
      </c>
      <c r="B35" s="99"/>
      <c r="C35" s="99"/>
      <c r="D35" s="99"/>
      <c r="E35" s="99"/>
      <c r="F35" s="99"/>
      <c r="G35" s="52">
        <f>G14+G15+G16+G17+G18+G20+G22+G23+G24+G25+G26+G27+G28+G29+G30+G31+G32+G33+G34</f>
        <v>2935.5249706153845</v>
      </c>
    </row>
    <row r="37" spans="1:9" x14ac:dyDescent="0.2">
      <c r="A37" s="100" t="s">
        <v>90</v>
      </c>
      <c r="B37" s="100"/>
      <c r="C37" s="100"/>
      <c r="D37" s="100"/>
      <c r="E37" s="100"/>
      <c r="F37" s="100"/>
      <c r="G37" s="100"/>
      <c r="H37" s="100"/>
    </row>
    <row r="38" spans="1:9" x14ac:dyDescent="0.2">
      <c r="A38" s="44" t="s">
        <v>57</v>
      </c>
      <c r="B38" s="98" t="s">
        <v>58</v>
      </c>
      <c r="C38" s="98"/>
      <c r="D38" s="98"/>
      <c r="E38" s="98"/>
      <c r="F38" s="98"/>
      <c r="G38" s="54" t="s">
        <v>6</v>
      </c>
      <c r="H38" s="61"/>
    </row>
    <row r="39" spans="1:9" x14ac:dyDescent="0.2">
      <c r="A39" s="53" t="s">
        <v>59</v>
      </c>
      <c r="B39" s="102" t="s">
        <v>91</v>
      </c>
      <c r="C39" s="102"/>
      <c r="D39" s="102"/>
      <c r="E39" s="102"/>
      <c r="F39" s="102"/>
      <c r="G39" s="62">
        <v>100.87</v>
      </c>
      <c r="H39" s="45"/>
    </row>
    <row r="40" spans="1:9" x14ac:dyDescent="0.2">
      <c r="A40" s="53" t="s">
        <v>60</v>
      </c>
      <c r="B40" s="102" t="s">
        <v>93</v>
      </c>
      <c r="C40" s="102"/>
      <c r="D40" s="102"/>
      <c r="E40" s="102"/>
      <c r="F40" s="102"/>
      <c r="G40" s="62">
        <v>58.5</v>
      </c>
      <c r="H40" s="38"/>
    </row>
    <row r="41" spans="1:9" x14ac:dyDescent="0.2">
      <c r="A41" s="53" t="s">
        <v>59</v>
      </c>
      <c r="B41" s="102" t="s">
        <v>92</v>
      </c>
      <c r="C41" s="102"/>
      <c r="D41" s="102"/>
      <c r="E41" s="102"/>
      <c r="F41" s="102"/>
      <c r="G41" s="62">
        <v>30.33</v>
      </c>
      <c r="H41" s="38"/>
    </row>
    <row r="42" spans="1:9" x14ac:dyDescent="0.2">
      <c r="A42" s="53" t="s">
        <v>98</v>
      </c>
      <c r="B42" s="102" t="s">
        <v>99</v>
      </c>
      <c r="C42" s="102"/>
      <c r="D42" s="102"/>
      <c r="E42" s="102"/>
      <c r="F42" s="102"/>
      <c r="G42" s="62"/>
      <c r="H42" s="38"/>
    </row>
    <row r="43" spans="1:9" x14ac:dyDescent="0.2">
      <c r="A43" s="99" t="s">
        <v>65</v>
      </c>
      <c r="B43" s="99"/>
      <c r="C43" s="99"/>
      <c r="D43" s="99"/>
      <c r="E43" s="99"/>
      <c r="F43" s="99"/>
      <c r="G43" s="52">
        <f>SUM(G39:G42)</f>
        <v>189.7</v>
      </c>
      <c r="H43" s="38"/>
    </row>
    <row r="44" spans="1:9" x14ac:dyDescent="0.2">
      <c r="A44" s="55"/>
      <c r="B44" s="97"/>
      <c r="C44" s="97"/>
      <c r="D44" s="97"/>
      <c r="E44" s="97"/>
      <c r="F44" s="97"/>
      <c r="G44" s="56"/>
      <c r="H44" s="60"/>
    </row>
    <row r="45" spans="1:9" x14ac:dyDescent="0.2">
      <c r="A45" s="100" t="s">
        <v>46</v>
      </c>
      <c r="B45" s="100"/>
      <c r="C45" s="100"/>
      <c r="D45" s="100"/>
      <c r="E45" s="100"/>
      <c r="F45" s="100"/>
      <c r="G45" s="63">
        <f>G35+G43</f>
        <v>3125.2249706153843</v>
      </c>
      <c r="H45" s="58"/>
    </row>
    <row r="46" spans="1:9" x14ac:dyDescent="0.2">
      <c r="A46" s="29"/>
      <c r="B46" s="29"/>
      <c r="C46" s="29"/>
      <c r="D46" s="29"/>
      <c r="E46" s="29"/>
      <c r="F46" s="29"/>
      <c r="G46" s="29"/>
    </row>
    <row r="47" spans="1:9" x14ac:dyDescent="0.2">
      <c r="A47" s="130" t="s">
        <v>49</v>
      </c>
      <c r="B47" s="130"/>
      <c r="C47" s="64">
        <v>3230.02</v>
      </c>
      <c r="D47" s="29"/>
      <c r="E47" s="29"/>
      <c r="F47" s="29"/>
      <c r="G47" s="29"/>
    </row>
    <row r="48" spans="1:9" x14ac:dyDescent="0.2">
      <c r="A48" s="29"/>
      <c r="B48" s="29"/>
      <c r="C48" s="29"/>
      <c r="D48" s="29"/>
      <c r="E48" s="29"/>
      <c r="F48" s="29"/>
      <c r="G48" s="29"/>
    </row>
    <row r="49" spans="1:8" x14ac:dyDescent="0.2">
      <c r="A49" s="131" t="s">
        <v>94</v>
      </c>
      <c r="B49" s="131"/>
      <c r="C49" s="29"/>
      <c r="D49" s="29"/>
      <c r="E49" s="29"/>
      <c r="F49" s="132" t="s">
        <v>95</v>
      </c>
      <c r="G49" s="132"/>
    </row>
    <row r="50" spans="1:8" x14ac:dyDescent="0.2">
      <c r="A50" s="93">
        <v>6272.5110699999996</v>
      </c>
      <c r="B50" s="94"/>
      <c r="C50" s="29"/>
      <c r="D50" s="29"/>
      <c r="E50" s="29"/>
      <c r="F50" s="96">
        <f>C47+A50-G45</f>
        <v>6377.3060993846148</v>
      </c>
      <c r="G50" s="96"/>
    </row>
    <row r="51" spans="1:8" x14ac:dyDescent="0.2">
      <c r="A51" s="29"/>
      <c r="B51" s="29"/>
      <c r="C51" s="29"/>
      <c r="D51" s="29"/>
      <c r="E51" s="29"/>
      <c r="F51" s="29"/>
    </row>
    <row r="52" spans="1:8" x14ac:dyDescent="0.2">
      <c r="A52" s="103" t="s">
        <v>66</v>
      </c>
      <c r="B52" s="103"/>
      <c r="C52" s="103"/>
      <c r="D52" s="103"/>
      <c r="E52" s="103"/>
      <c r="F52" s="103"/>
      <c r="G52" s="103"/>
      <c r="H52" s="103"/>
    </row>
    <row r="53" spans="1:8" x14ac:dyDescent="0.2">
      <c r="A53" s="103" t="s">
        <v>67</v>
      </c>
      <c r="B53" s="103"/>
      <c r="C53" s="103"/>
      <c r="D53" s="103"/>
      <c r="E53" s="103"/>
      <c r="F53" s="103"/>
      <c r="G53" s="103"/>
      <c r="H53" s="103"/>
    </row>
    <row r="54" spans="1:8" x14ac:dyDescent="0.2">
      <c r="A54" s="29"/>
      <c r="B54" s="29"/>
      <c r="C54" s="29"/>
      <c r="D54" s="29"/>
      <c r="E54" s="29"/>
      <c r="F54" s="29"/>
    </row>
    <row r="55" spans="1:8" x14ac:dyDescent="0.2">
      <c r="A55" s="29"/>
      <c r="B55" s="29"/>
      <c r="C55" s="29"/>
      <c r="D55" s="29"/>
      <c r="E55" s="29"/>
      <c r="F55" s="29"/>
    </row>
    <row r="56" spans="1:8" x14ac:dyDescent="0.2">
      <c r="A56" s="29"/>
      <c r="B56" s="29"/>
      <c r="C56" s="29"/>
      <c r="D56" s="29"/>
      <c r="E56" s="29"/>
      <c r="F56" s="29"/>
    </row>
    <row r="57" spans="1:8" x14ac:dyDescent="0.2">
      <c r="A57" s="29"/>
      <c r="B57" s="29"/>
      <c r="C57" s="29"/>
      <c r="D57" s="29"/>
      <c r="E57" s="29"/>
      <c r="F57" s="29"/>
    </row>
    <row r="58" spans="1:8" x14ac:dyDescent="0.2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6 G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17</vt:i4>
      </vt:variant>
    </vt:vector>
  </HeadingPairs>
  <TitlesOfParts>
    <vt:vector size="39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Rio Doce</vt:lpstr>
      <vt:lpstr>Santa Cruz</vt:lpstr>
      <vt:lpstr>Grama</vt:lpstr>
      <vt:lpstr>Goiabal</vt:lpstr>
      <vt:lpstr>São Pedro</vt:lpstr>
      <vt:lpstr>Urucânia</vt:lpstr>
      <vt:lpstr>Consolidado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Consolidado!Area_de_impressao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2015-03-20T10:38:32Z</cp:lastPrinted>
  <dcterms:created xsi:type="dcterms:W3CDTF">2012-01-09T11:25:55Z</dcterms:created>
  <dcterms:modified xsi:type="dcterms:W3CDTF">2015-06-30T10:31:19Z</dcterms:modified>
</cp:coreProperties>
</file>